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D5F48557-8513-EE47-813E-CEF0AC3C1CA6}" xr6:coauthVersionLast="47" xr6:coauthVersionMax="47" xr10:uidLastSave="{00000000-0000-0000-0000-000000000000}"/>
  <workbookProtection workbookAlgorithmName="SHA-512" workbookHashValue="2ebsEE9c/vKYd1aC50MmYInJznJh/YrdFfSd4OXEVwLlnrkkYaYawPu2904cvv7Kl6kywUZCNOnt6X5ML0VQ/Q==" workbookSaltValue="MOIfZ+gbYlKGRMgK9iv3lQ==" workbookSpinCount="100000" lockStructure="1"/>
  <bookViews>
    <workbookView xWindow="0" yWindow="660" windowWidth="23260" windowHeight="13900" xr2:uid="{00000000-000D-0000-FFFF-FFFF00000000}"/>
  </bookViews>
  <sheets>
    <sheet name="Mitoitus" sheetId="1" r:id="rId1"/>
    <sheet name="Data" sheetId="2" state="hidden" r:id="rId2"/>
    <sheet name="Painehäviö" sheetId="3" state="hidden" r:id="rId3"/>
  </sheets>
  <definedNames>
    <definedName name="kopl400">Data!$D$3:$F$3</definedName>
    <definedName name="Kopplingstyp1">Data!$D$3:$F$3</definedName>
    <definedName name="Panelmodell">Data!$A$3:$A$13</definedName>
    <definedName name="_xlnm.Print_Area" localSheetId="0">Mitoitus!$A$1:$J$47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13" i="2" l="1"/>
  <c r="I15" i="2"/>
  <c r="I14" i="2"/>
  <c r="I12" i="2"/>
  <c r="I11" i="2"/>
  <c r="I10" i="2"/>
  <c r="I4" i="2"/>
  <c r="I5" i="2"/>
  <c r="I6" i="2"/>
  <c r="I7" i="2"/>
  <c r="I8" i="2"/>
  <c r="I9" i="2"/>
  <c r="C26" i="1"/>
  <c r="B6" i="3" l="1"/>
  <c r="F6" i="3" s="1"/>
  <c r="A6" i="3"/>
  <c r="I6" i="3" s="1"/>
  <c r="B5" i="3"/>
  <c r="F5" i="3" s="1"/>
  <c r="A5" i="3"/>
  <c r="I5" i="3" s="1"/>
  <c r="G6" i="3" l="1"/>
  <c r="D6" i="3"/>
  <c r="M5" i="3"/>
  <c r="S5" i="3" s="1"/>
  <c r="D5" i="3"/>
  <c r="G5" i="3"/>
  <c r="M12" i="2" l="1"/>
  <c r="V12" i="2" s="1"/>
  <c r="M13" i="2"/>
  <c r="V13" i="2" s="1"/>
  <c r="M14" i="2"/>
  <c r="V14" i="2" s="1"/>
  <c r="M15" i="2"/>
  <c r="M11" i="2"/>
  <c r="T11" i="2" s="1"/>
  <c r="M4" i="2"/>
  <c r="V4" i="2" s="1"/>
  <c r="M5" i="2"/>
  <c r="V5" i="2" s="1"/>
  <c r="M6" i="2"/>
  <c r="V6" i="2" s="1"/>
  <c r="M7" i="2"/>
  <c r="T7" i="2" s="1"/>
  <c r="M8" i="2"/>
  <c r="V8" i="2" s="1"/>
  <c r="M9" i="2"/>
  <c r="V9" i="2" s="1"/>
  <c r="M10" i="2"/>
  <c r="M3" i="2"/>
  <c r="T3" i="2" s="1"/>
  <c r="M6" i="3" s="1"/>
  <c r="S6" i="3" s="1"/>
  <c r="T15" i="2" l="1"/>
  <c r="C31" i="1"/>
  <c r="T10" i="2"/>
  <c r="K6" i="3"/>
  <c r="T13" i="2"/>
  <c r="K5" i="3" s="1"/>
  <c r="C23" i="1"/>
  <c r="C22" i="1"/>
  <c r="N14" i="2"/>
  <c r="N15" i="2"/>
  <c r="N12" i="2"/>
  <c r="C24" i="1" l="1"/>
  <c r="C25" i="1"/>
  <c r="J36" i="1"/>
  <c r="J37" i="1" s="1"/>
  <c r="N13" i="2" l="1"/>
  <c r="N11" i="2"/>
  <c r="J25" i="2" l="1"/>
  <c r="I25" i="2" s="1"/>
  <c r="J26" i="2"/>
  <c r="I26" i="2" s="1"/>
  <c r="F25" i="2"/>
  <c r="F26" i="2"/>
  <c r="D25" i="2"/>
  <c r="C25" i="2" s="1"/>
  <c r="D26" i="2"/>
  <c r="C26" i="2" s="1"/>
  <c r="J24" i="2"/>
  <c r="I24" i="2" s="1"/>
  <c r="F24" i="2"/>
  <c r="D24" i="2"/>
  <c r="C24" i="2" s="1"/>
  <c r="I28" i="2"/>
  <c r="F28" i="2"/>
  <c r="I27" i="2"/>
  <c r="F27" i="2"/>
  <c r="C29" i="1"/>
  <c r="L11" i="2" l="1"/>
  <c r="L3" i="2"/>
  <c r="L12" i="2"/>
  <c r="L7" i="2"/>
  <c r="L4" i="2"/>
  <c r="L6" i="2"/>
  <c r="L10" i="2"/>
  <c r="C30" i="1" s="1"/>
  <c r="L14" i="2"/>
  <c r="L9" i="2"/>
  <c r="L15" i="2"/>
  <c r="L8" i="2"/>
  <c r="L13" i="2"/>
  <c r="L5" i="2"/>
  <c r="C28" i="2"/>
  <c r="C27" i="2"/>
  <c r="C18" i="1" l="1"/>
  <c r="C13" i="1"/>
  <c r="C40" i="1" l="1"/>
  <c r="C33" i="1" l="1"/>
  <c r="C36" i="1" s="1"/>
  <c r="C34" i="1" l="1"/>
  <c r="C37" i="1"/>
  <c r="C44" i="1" s="1"/>
  <c r="X12" i="2"/>
  <c r="X14" i="2"/>
  <c r="X9" i="2"/>
  <c r="W13" i="2"/>
  <c r="X8" i="2"/>
  <c r="W3" i="2"/>
  <c r="W11" i="2"/>
  <c r="W7" i="2"/>
  <c r="X4" i="2"/>
  <c r="X6" i="2"/>
  <c r="W15" i="2"/>
  <c r="W10" i="2"/>
  <c r="X5" i="2"/>
  <c r="X13" i="2"/>
  <c r="C43" i="1"/>
  <c r="C35" i="1"/>
  <c r="I43" i="1" s="1"/>
  <c r="C5" i="3" l="1"/>
  <c r="Q5" i="3" s="1"/>
  <c r="E5" i="3" s="1"/>
  <c r="H5" i="3" s="1"/>
  <c r="C6" i="3"/>
  <c r="Q6" i="3" s="1"/>
  <c r="E6" i="3" s="1"/>
  <c r="H6" i="3" s="1"/>
  <c r="R6" i="3" s="1"/>
  <c r="J6" i="3" s="1"/>
  <c r="N6" i="3" s="1"/>
  <c r="U6" i="3" s="1"/>
  <c r="T5" i="3" l="1"/>
  <c r="O5" i="3" s="1"/>
  <c r="T6" i="3"/>
  <c r="O6" i="3" s="1"/>
  <c r="V6" i="3" s="1"/>
  <c r="P6" i="3" s="1"/>
  <c r="R5" i="3"/>
  <c r="J5" i="3" s="1"/>
  <c r="N5" i="3" s="1"/>
  <c r="U5" i="3" l="1"/>
  <c r="N9" i="3"/>
  <c r="V5" i="3"/>
  <c r="O9" i="3"/>
  <c r="P5" i="3" l="1"/>
  <c r="N10" i="3"/>
  <c r="C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Stravent</author>
  </authors>
  <commentList>
    <comment ref="C43" authorId="0" shapeId="0" xr:uid="{A5C55953-19DE-4A68-8B27-19D57424EC9F}">
      <text>
        <r>
          <rPr>
            <b/>
            <sz val="9"/>
            <color indexed="81"/>
            <rFont val="Tahoma"/>
            <family val="2"/>
          </rPr>
          <t>Jos kokonaisteho on 0,0 kW, valituilla arvoilla virtaama on liian pieni, jotta teho voitaisiin laskea oikein.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L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L-0,1m</t>
        </r>
      </text>
    </comment>
    <comment ref="L1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L-0,5m</t>
        </r>
      </text>
    </comment>
    <comment ref="L13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L-0,5m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Stravent</author>
  </authors>
  <commentList>
    <comment ref="H5" authorId="0" shapeId="0" xr:uid="{82191742-0A73-4043-97FF-DDAC8AB03863}">
      <text>
        <r>
          <rPr>
            <b/>
            <sz val="9"/>
            <color indexed="81"/>
            <rFont val="Tahoma"/>
            <family val="2"/>
          </rPr>
          <t>Stravent:</t>
        </r>
        <r>
          <rPr>
            <sz val="9"/>
            <color indexed="81"/>
            <rFont val="Tahoma"/>
            <family val="2"/>
          </rPr>
          <t xml:space="preserve">
+0,01 nollalla jakamisen välttämiseksi</t>
        </r>
      </text>
    </comment>
    <comment ref="H6" authorId="0" shapeId="0" xr:uid="{891CD1EE-8B79-4574-84BF-6B473DF85E9E}">
      <text>
        <r>
          <rPr>
            <b/>
            <sz val="9"/>
            <color indexed="81"/>
            <rFont val="Tahoma"/>
            <family val="2"/>
          </rPr>
          <t>Stravent:</t>
        </r>
        <r>
          <rPr>
            <sz val="9"/>
            <color indexed="81"/>
            <rFont val="Tahoma"/>
            <family val="2"/>
          </rPr>
          <t xml:space="preserve">
+0,01 nollalla jakamisen välttämiseksi</t>
        </r>
      </text>
    </comment>
  </commentList>
</comments>
</file>

<file path=xl/sharedStrings.xml><?xml version="1.0" encoding="utf-8"?>
<sst xmlns="http://schemas.openxmlformats.org/spreadsheetml/2006/main" count="220" uniqueCount="167">
  <si>
    <t>Tiedot</t>
  </si>
  <si>
    <t>Huonelämpötila</t>
  </si>
  <si>
    <t>Menoveden lämpötila</t>
  </si>
  <si>
    <t>Paluuveden lämpötila</t>
  </si>
  <si>
    <t>Lämpötilaero</t>
  </si>
  <si>
    <t>Pituus</t>
  </si>
  <si>
    <t>Leveys</t>
  </si>
  <si>
    <t>Korkeus</t>
  </si>
  <si>
    <t>Pinta-ala</t>
  </si>
  <si>
    <t>Kattosäteilijämalli</t>
  </si>
  <si>
    <t>Kytkentätyyppi</t>
  </si>
  <si>
    <t>Kytkentädimensio Ø</t>
  </si>
  <si>
    <t>Paino per linja</t>
  </si>
  <si>
    <t>Paino veden kanssa</t>
  </si>
  <si>
    <t>Linjojen lukumäärä</t>
  </si>
  <si>
    <t>Paneelien lkm/linja</t>
  </si>
  <si>
    <t>Rakennepituus</t>
  </si>
  <si>
    <t>Tehollinen pituus</t>
  </si>
  <si>
    <t>Teho per linja</t>
  </si>
  <si>
    <t>Kokonaisteho</t>
  </si>
  <si>
    <t>Teho per m2</t>
  </si>
  <si>
    <t>Virtaama per linja (l/s)</t>
  </si>
  <si>
    <t>Virtaama per linja (l/h)</t>
  </si>
  <si>
    <t>Painehäviö</t>
  </si>
  <si>
    <t>Kattosäteilijöiden lkm</t>
  </si>
  <si>
    <t>m</t>
  </si>
  <si>
    <t>m2</t>
  </si>
  <si>
    <t>°C</t>
  </si>
  <si>
    <t>mm</t>
  </si>
  <si>
    <t>kg</t>
  </si>
  <si>
    <t>W</t>
  </si>
  <si>
    <t>kpl</t>
  </si>
  <si>
    <t>kW</t>
  </si>
  <si>
    <t>W/m2</t>
  </si>
  <si>
    <t>l/s</t>
  </si>
  <si>
    <t>l/h</t>
  </si>
  <si>
    <t>kPa</t>
  </si>
  <si>
    <t>KOKONAISTEHO</t>
  </si>
  <si>
    <t>KOKONAISVIRTAAMA</t>
  </si>
  <si>
    <t>SUURIN PAINEHÄVIÖ</t>
  </si>
  <si>
    <t>KOKONAISTEHO/m2</t>
  </si>
  <si>
    <t>P</t>
  </si>
  <si>
    <t>Paneelityyppi</t>
  </si>
  <si>
    <t>Liitäntä</t>
  </si>
  <si>
    <t>D</t>
  </si>
  <si>
    <t>S</t>
  </si>
  <si>
    <t>Teho/m</t>
  </si>
  <si>
    <t>Laskenta 1</t>
  </si>
  <si>
    <t>Laskenta 2</t>
  </si>
  <si>
    <t>casa</t>
  </si>
  <si>
    <t>arena</t>
  </si>
  <si>
    <t xml:space="preserve">Tehollinen pituus </t>
  </si>
  <si>
    <t>Paino/m tyhjä</t>
  </si>
  <si>
    <t>Paino/m täytetty</t>
  </si>
  <si>
    <t>Toivottu huonelämpötila</t>
  </si>
  <si>
    <t>Syötä linjojen lukumäärä</t>
  </si>
  <si>
    <t>Tilan pituus</t>
  </si>
  <si>
    <t>Tilan leveys</t>
  </si>
  <si>
    <t>Tilan korkeus</t>
  </si>
  <si>
    <t>Syötä toivottu linjapituus</t>
  </si>
  <si>
    <t>ARENA- ja CASA-kattosäteilijöiden mitoitus</t>
  </si>
  <si>
    <t>Päivämäärä:</t>
  </si>
  <si>
    <t>Laatija:</t>
  </si>
  <si>
    <t>1.</t>
  </si>
  <si>
    <t>2.</t>
  </si>
  <si>
    <t>3.</t>
  </si>
  <si>
    <t>4.</t>
  </si>
  <si>
    <t>5.</t>
  </si>
  <si>
    <t>6.</t>
  </si>
  <si>
    <t>7.</t>
  </si>
  <si>
    <t>Versiohistoria</t>
  </si>
  <si>
    <t>Päivitetty kaikkien mallien painot sekä Casan tehollinen pituus</t>
  </si>
  <si>
    <t>Linja optimoidaan 6 m paneelipituudella.</t>
  </si>
  <si>
    <t>Syötä paluuveden lämpötila</t>
  </si>
  <si>
    <t>Syötä menoveden lämpötila</t>
  </si>
  <si>
    <t>Lisätiedot</t>
  </si>
  <si>
    <t>Kytkentävaihtoehdot</t>
  </si>
  <si>
    <t>P-kytkentä</t>
  </si>
  <si>
    <t>D-kytkentä</t>
  </si>
  <si>
    <t>S-kytkentä</t>
  </si>
  <si>
    <t xml:space="preserve">Jos laskennassa on ainoastaan yksi paneeli, </t>
  </si>
  <si>
    <t>syötetään linjojen lukumääräksi "1".</t>
  </si>
  <si>
    <t>Ohjeet</t>
  </si>
  <si>
    <t>K</t>
  </si>
  <si>
    <t>n</t>
  </si>
  <si>
    <t>Min. virtaama</t>
  </si>
  <si>
    <t>Casa 400 P</t>
  </si>
  <si>
    <t>Casa 400 D</t>
  </si>
  <si>
    <t>Casa 800 P</t>
  </si>
  <si>
    <t>Casa 800 D</t>
  </si>
  <si>
    <t>Casa 800 S</t>
  </si>
  <si>
    <t>Casa 1200 P</t>
  </si>
  <si>
    <t>Casa 1200 D</t>
  </si>
  <si>
    <t>Casa 1200 S</t>
  </si>
  <si>
    <t>Arena 615 P</t>
  </si>
  <si>
    <t>Arena 615 D</t>
  </si>
  <si>
    <t>Arena 900 P</t>
  </si>
  <si>
    <t>Arena 900 D</t>
  </si>
  <si>
    <t>Arena 900 S</t>
  </si>
  <si>
    <t>Valitse kattosäteilijä ja kytkentätyyppi</t>
  </si>
  <si>
    <t>Pienin suositeltava virtaama</t>
  </si>
  <si>
    <t>l/h=</t>
  </si>
  <si>
    <t>Todellinen linjapituus</t>
  </si>
  <si>
    <t>Todellinen linjapituus = lähin vakiopituus</t>
  </si>
  <si>
    <t>Lisätty varoitus liian pienestä virtaamasta, paneelipituus pyöristetään todelliseen pituuteen.</t>
  </si>
  <si>
    <t>nostaa paluuveden lämpötilaa tai valita toinen paneeli.</t>
  </si>
  <si>
    <t>Pienemmillä virtaamilla tulisi vaihtaa kytkentätyyppiä,</t>
  </si>
  <si>
    <t>Toivottu linjapituus</t>
  </si>
  <si>
    <t>Jos pituudet poikkeavat, ottakaa yhteyttä Straventiin.</t>
  </si>
  <si>
    <t>Painehäviö putkessa</t>
  </si>
  <si>
    <t>Paneeli</t>
  </si>
  <si>
    <t>Keskilämpötila</t>
  </si>
  <si>
    <t>Virtaama</t>
  </si>
  <si>
    <t>Sisähalkaisija</t>
  </si>
  <si>
    <t>Nopeus</t>
  </si>
  <si>
    <t>Tiheys</t>
  </si>
  <si>
    <t>Kinemaattinen viskositeetti</t>
  </si>
  <si>
    <t>Reynoldsin luku</t>
  </si>
  <si>
    <t>Karheus</t>
  </si>
  <si>
    <t>Kitkakerroin</t>
  </si>
  <si>
    <t>Kertavastus</t>
  </si>
  <si>
    <t>Painehäviö putki</t>
  </si>
  <si>
    <t>Painehäviö kertavastus</t>
  </si>
  <si>
    <t>Painehäviö yhteensä</t>
  </si>
  <si>
    <t>°C</t>
  </si>
  <si>
    <t>m/s</t>
  </si>
  <si>
    <t>kg/m3</t>
  </si>
  <si>
    <t>m2/s</t>
  </si>
  <si>
    <t>-</t>
  </si>
  <si>
    <t>Mutka</t>
  </si>
  <si>
    <t>Lukumäärä</t>
  </si>
  <si>
    <t>t</t>
  </si>
  <si>
    <t>q</t>
  </si>
  <si>
    <t>v</t>
  </si>
  <si>
    <t>r</t>
  </si>
  <si>
    <t>u</t>
  </si>
  <si>
    <t>Re</t>
  </si>
  <si>
    <t>e</t>
  </si>
  <si>
    <t>f</t>
  </si>
  <si>
    <t>L</t>
  </si>
  <si>
    <t>x</t>
  </si>
  <si>
    <t>dp putki</t>
  </si>
  <si>
    <t>dp kertavastus</t>
  </si>
  <si>
    <t>dp yhteensä</t>
  </si>
  <si>
    <t>Karheus, e</t>
  </si>
  <si>
    <t>Putkipituus, täysi virtaus</t>
  </si>
  <si>
    <t>Mutkien lkm, täysi virtaus</t>
  </si>
  <si>
    <t>Mutkien lkm, osavirtaus</t>
  </si>
  <si>
    <t>Putkipituus, osavirtaus</t>
  </si>
  <si>
    <t>Osavirtaus</t>
  </si>
  <si>
    <t>Täysi virtaus</t>
  </si>
  <si>
    <t>Summa:</t>
  </si>
  <si>
    <t>Yht.:</t>
  </si>
  <si>
    <t>Lisätty painehäviölaskenta</t>
  </si>
  <si>
    <t xml:space="preserve">7. </t>
  </si>
  <si>
    <t>Casan karheusarvo muutettu 0,0015:stä 0,01:een. Mallien 400D, 800D, 800P, 615D ja 900P laskelmat varmennettu MagiCADilla. (Casa rh 0,01 ja Arena rh 0,045).</t>
  </si>
  <si>
    <t>n-kerroin</t>
  </si>
  <si>
    <t>Ktot (per tehollinen metri)</t>
  </si>
  <si>
    <t>Teho per tehollinen metri</t>
  </si>
  <si>
    <t>v. 2024-09</t>
  </si>
  <si>
    <t>Uusi laskentamoottori raportin 30-17053/1/T mukaisesti. Arenalle ei tehty uusia mittauksia.</t>
  </si>
  <si>
    <t>2024-xx-xx</t>
  </si>
  <si>
    <t>Asennussarjat</t>
  </si>
  <si>
    <t>Paneelit &lt;3 m</t>
  </si>
  <si>
    <t>Paneelit ≥3 m</t>
  </si>
  <si>
    <t>l/s=</t>
  </si>
  <si>
    <t>Stravent Oy  |  Piispantilankuja 4, 02240 Espoo  |  puh. 09 4241 3630  |  info@stravent.fi  |  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</si>
</sst>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yyyy/mm/dd;@"/>
    <numFmt numFmtId="167" formatCode="0.0000"/>
    <numFmt numFmtId="168" formatCode="0.000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59595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/>
    <xf numFmtId="1" fontId="0" fillId="0" borderId="0" xfId="0" applyNumberFormat="1"/>
    <xf numFmtId="164" fontId="1" fillId="2" borderId="6" xfId="0" applyNumberFormat="1" applyFont="1" applyFill="1" applyBorder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4" borderId="2" xfId="0" applyFill="1" applyBorder="1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0" fillId="4" borderId="2" xfId="0" applyFill="1" applyBorder="1" applyAlignment="1" applyProtection="1">
      <alignment vertical="center"/>
      <protection hidden="1"/>
    </xf>
    <xf numFmtId="1" fontId="0" fillId="4" borderId="2" xfId="0" applyNumberFormat="1" applyFill="1" applyBorder="1" applyAlignment="1" applyProtection="1">
      <alignment vertical="center"/>
      <protection hidden="1"/>
    </xf>
    <xf numFmtId="2" fontId="0" fillId="4" borderId="2" xfId="0" applyNumberFormat="1" applyFill="1" applyBorder="1" applyAlignment="1" applyProtection="1">
      <alignment vertical="center"/>
      <protection hidden="1"/>
    </xf>
    <xf numFmtId="164" fontId="0" fillId="4" borderId="2" xfId="0" applyNumberFormat="1" applyFill="1" applyBorder="1" applyAlignment="1" applyProtection="1">
      <alignment vertical="center"/>
      <protection hidden="1"/>
    </xf>
    <xf numFmtId="14" fontId="0" fillId="0" borderId="14" xfId="0" applyNumberFormat="1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5" borderId="11" xfId="0" applyFont="1" applyFill="1" applyBorder="1"/>
    <xf numFmtId="0" fontId="0" fillId="5" borderId="12" xfId="0" applyFill="1" applyBorder="1"/>
    <xf numFmtId="0" fontId="0" fillId="5" borderId="13" xfId="0" applyFill="1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Alignment="1">
      <alignment vertical="center"/>
    </xf>
    <xf numFmtId="166" fontId="5" fillId="0" borderId="15" xfId="0" applyNumberFormat="1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0" fillId="0" borderId="15" xfId="0" applyBorder="1" applyAlignment="1">
      <alignment vertical="center"/>
    </xf>
    <xf numFmtId="0" fontId="0" fillId="3" borderId="14" xfId="0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0" fillId="0" borderId="0" xfId="0" applyNumberFormat="1"/>
    <xf numFmtId="164" fontId="0" fillId="0" borderId="0" xfId="0" applyNumberFormat="1"/>
    <xf numFmtId="165" fontId="3" fillId="0" borderId="15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167" fontId="0" fillId="4" borderId="2" xfId="0" applyNumberFormat="1" applyFill="1" applyBorder="1" applyAlignment="1" applyProtection="1">
      <alignment vertical="center"/>
      <protection hidden="1"/>
    </xf>
    <xf numFmtId="0" fontId="3" fillId="6" borderId="0" xfId="0" applyFont="1" applyFill="1"/>
    <xf numFmtId="0" fontId="0" fillId="6" borderId="0" xfId="0" applyFill="1"/>
    <xf numFmtId="0" fontId="0" fillId="6" borderId="26" xfId="0" applyFill="1" applyBorder="1"/>
    <xf numFmtId="0" fontId="0" fillId="7" borderId="26" xfId="0" applyFill="1" applyBorder="1"/>
    <xf numFmtId="0" fontId="0" fillId="8" borderId="26" xfId="0" applyFill="1" applyBorder="1"/>
    <xf numFmtId="167" fontId="0" fillId="8" borderId="26" xfId="0" applyNumberFormat="1" applyFill="1" applyBorder="1"/>
    <xf numFmtId="167" fontId="0" fillId="7" borderId="26" xfId="0" applyNumberFormat="1" applyFill="1" applyBorder="1"/>
    <xf numFmtId="2" fontId="0" fillId="7" borderId="26" xfId="0" applyNumberFormat="1" applyFill="1" applyBorder="1"/>
    <xf numFmtId="1" fontId="0" fillId="7" borderId="26" xfId="0" applyNumberFormat="1" applyFill="1" applyBorder="1"/>
    <xf numFmtId="168" fontId="0" fillId="7" borderId="26" xfId="0" applyNumberFormat="1" applyFill="1" applyBorder="1"/>
    <xf numFmtId="0" fontId="3" fillId="0" borderId="0" xfId="0" applyFont="1" applyAlignment="1">
      <alignment wrapText="1"/>
    </xf>
    <xf numFmtId="164" fontId="1" fillId="2" borderId="7" xfId="0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9" fillId="0" borderId="0" xfId="0" applyFont="1"/>
    <xf numFmtId="165" fontId="9" fillId="0" borderId="0" xfId="0" applyNumberFormat="1" applyFont="1"/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ali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326241</xdr:colOff>
      <xdr:row>0</xdr:row>
      <xdr:rowOff>101289</xdr:rowOff>
    </xdr:from>
    <xdr:to>
      <xdr:col>5</xdr:col>
      <xdr:colOff>537607</xdr:colOff>
      <xdr:row>4</xdr:row>
      <xdr:rowOff>84479</xdr:rowOff>
    </xdr:to>
    <xdr:pic>
      <xdr:nvPicPr>
        <xdr:cNvPr id="4" name="Stravent-logo">
          <a:extLst>
            <a:ext uri="{FF2B5EF4-FFF2-40B4-BE49-F238E27FC236}">
              <a16:creationId xmlns:a16="http://schemas.microsoft.com/office/drawing/2014/main" id="{29A3FA49-E239-4462-83E2-397827ACD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511" y="101289"/>
          <a:ext cx="1956642" cy="886994"/>
        </a:xfrm>
        <a:prstGeom prst="rect">
          <a:avLst/>
        </a:prstGeom>
      </xdr:spPr>
    </xdr:pic>
    <xdr:clientData/>
  </xdr:twoCellAnchor>
  <xdr:twoCellAnchor editAs="oneCell">
    <xdr:from>
      <xdr:col>10</xdr:col>
      <xdr:colOff>212913</xdr:colOff>
      <xdr:row>11</xdr:row>
      <xdr:rowOff>100855</xdr:rowOff>
    </xdr:from>
    <xdr:to>
      <xdr:col>15</xdr:col>
      <xdr:colOff>263389</xdr:colOff>
      <xdr:row>14</xdr:row>
      <xdr:rowOff>1122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6B6AB34D-84AD-4B75-AD14-311BC8A24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0472" y="2678208"/>
          <a:ext cx="3056193" cy="572620"/>
        </a:xfrm>
        <a:prstGeom prst="rect">
          <a:avLst/>
        </a:prstGeom>
      </xdr:spPr>
    </xdr:pic>
    <xdr:clientData/>
  </xdr:twoCellAnchor>
  <xdr:twoCellAnchor editAs="oneCell">
    <xdr:from>
      <xdr:col>10</xdr:col>
      <xdr:colOff>222789</xdr:colOff>
      <xdr:row>15</xdr:row>
      <xdr:rowOff>220285</xdr:rowOff>
    </xdr:from>
    <xdr:to>
      <xdr:col>15</xdr:col>
      <xdr:colOff>328448</xdr:colOff>
      <xdr:row>19</xdr:row>
      <xdr:rowOff>209902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3F11BCEA-B24B-4169-B265-F6F6664E2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1243" y="3704430"/>
          <a:ext cx="3176218" cy="891985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201706</xdr:colOff>
      <xdr:row>21</xdr:row>
      <xdr:rowOff>71807</xdr:rowOff>
    </xdr:from>
    <xdr:to>
      <xdr:col>15</xdr:col>
      <xdr:colOff>263589</xdr:colOff>
      <xdr:row>24</xdr:row>
      <xdr:rowOff>204465</xdr:rowOff>
    </xdr:to>
    <xdr:pic>
      <xdr:nvPicPr>
        <xdr:cNvPr id="8" name="Kuva 7">
          <a:extLst>
            <a:ext uri="{FF2B5EF4-FFF2-40B4-BE49-F238E27FC236}">
              <a16:creationId xmlns:a16="http://schemas.microsoft.com/office/drawing/2014/main" id="{594943D8-1DBB-427B-B504-2834B9EAD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0160" y="4909504"/>
          <a:ext cx="3132442" cy="809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0"/>
  <sheetViews>
    <sheetView tabSelected="1" zoomScale="137" zoomScaleNormal="85" workbookViewId="0">
      <selection activeCell="C10" sqref="C10"/>
    </sheetView>
  </sheetViews>
  <sheetFormatPr baseColWidth="10" defaultColWidth="8.83203125" defaultRowHeight="15" x14ac:dyDescent="0.2"/>
  <cols>
    <col min="1" max="1" width="23.1640625" bestFit="1" customWidth="1"/>
    <col min="2" max="2" width="2.1640625" customWidth="1"/>
    <col min="3" max="3" width="12.83203125" customWidth="1"/>
    <col min="4" max="4" width="6.5" customWidth="1"/>
    <col min="5" max="5" width="3.5" customWidth="1"/>
    <col min="6" max="6" width="11" customWidth="1"/>
    <col min="7" max="7" width="7.83203125" customWidth="1"/>
    <col min="8" max="8" width="4.5" customWidth="1"/>
    <col min="9" max="9" width="10" customWidth="1"/>
    <col min="10" max="10" width="9.6640625" customWidth="1"/>
    <col min="17" max="17" width="2.5" customWidth="1"/>
  </cols>
  <sheetData>
    <row r="1" spans="1:17" ht="18" customHeight="1" x14ac:dyDescent="0.2">
      <c r="A1" s="35"/>
      <c r="B1" s="36"/>
      <c r="C1" s="36"/>
      <c r="D1" s="36"/>
      <c r="E1" s="36"/>
      <c r="F1" s="36"/>
      <c r="G1" s="36"/>
      <c r="H1" s="36"/>
      <c r="I1" s="41" t="s">
        <v>159</v>
      </c>
      <c r="J1" s="42"/>
      <c r="K1" s="1"/>
      <c r="L1" s="1"/>
      <c r="M1" s="1"/>
    </row>
    <row r="2" spans="1:17" ht="18" customHeight="1" x14ac:dyDescent="0.2">
      <c r="A2" s="37"/>
      <c r="B2" s="1"/>
      <c r="C2" s="1"/>
      <c r="D2" s="1"/>
      <c r="E2" s="1"/>
      <c r="F2" s="1"/>
      <c r="G2" s="1"/>
      <c r="H2" s="1"/>
      <c r="I2" s="43" t="s">
        <v>61</v>
      </c>
      <c r="J2" s="44" t="s">
        <v>161</v>
      </c>
      <c r="K2" s="1"/>
      <c r="L2" s="1"/>
      <c r="M2" s="1"/>
    </row>
    <row r="3" spans="1:17" ht="18" customHeight="1" x14ac:dyDescent="0.2">
      <c r="A3" s="37"/>
      <c r="B3" s="1"/>
      <c r="C3" s="1"/>
      <c r="D3" s="1"/>
      <c r="E3" s="1"/>
      <c r="F3" s="1"/>
      <c r="G3" s="1"/>
      <c r="H3" s="1"/>
      <c r="I3" s="43" t="s">
        <v>62</v>
      </c>
      <c r="J3" s="45"/>
      <c r="K3" s="1"/>
      <c r="L3" s="1"/>
      <c r="M3" s="1"/>
    </row>
    <row r="4" spans="1:17" ht="18" customHeight="1" x14ac:dyDescent="0.2">
      <c r="A4" s="37"/>
      <c r="B4" s="1"/>
      <c r="C4" s="1"/>
      <c r="D4" s="1"/>
      <c r="E4" s="1"/>
      <c r="F4" s="1"/>
      <c r="G4" s="1"/>
      <c r="H4" s="1"/>
      <c r="I4" s="1"/>
      <c r="J4" s="46"/>
      <c r="K4" s="1"/>
      <c r="L4" s="1"/>
      <c r="M4" s="1"/>
    </row>
    <row r="5" spans="1:17" ht="18" customHeight="1" x14ac:dyDescent="0.2">
      <c r="A5" s="37"/>
      <c r="B5" s="1"/>
      <c r="C5" s="1"/>
      <c r="D5" s="1"/>
      <c r="E5" s="1"/>
      <c r="F5" s="1"/>
      <c r="G5" s="1"/>
      <c r="H5" s="1"/>
      <c r="I5" s="1"/>
      <c r="J5" s="46"/>
      <c r="K5" s="1"/>
      <c r="L5" s="1"/>
      <c r="M5" s="1"/>
    </row>
    <row r="6" spans="1:17" ht="27" customHeight="1" thickBot="1" x14ac:dyDescent="0.25">
      <c r="A6" s="93" t="s">
        <v>60</v>
      </c>
      <c r="B6" s="94"/>
      <c r="C6" s="94"/>
      <c r="D6" s="94"/>
      <c r="E6" s="94"/>
      <c r="F6" s="94"/>
      <c r="G6" s="94"/>
      <c r="H6" s="94"/>
      <c r="I6" s="94"/>
      <c r="J6" s="95"/>
      <c r="K6" s="1"/>
      <c r="L6" s="1"/>
      <c r="M6" s="1"/>
    </row>
    <row r="7" spans="1:17" ht="1.5" customHeight="1" thickBot="1" x14ac:dyDescent="0.25">
      <c r="A7" s="37"/>
      <c r="B7" s="1"/>
      <c r="C7" s="1"/>
      <c r="D7" s="1"/>
      <c r="E7" s="1"/>
      <c r="F7" s="1"/>
      <c r="G7" s="1"/>
      <c r="H7" s="1"/>
      <c r="I7" s="1"/>
      <c r="J7" s="46"/>
      <c r="K7" s="1"/>
      <c r="L7" s="1"/>
      <c r="M7" s="1"/>
    </row>
    <row r="8" spans="1:17" ht="41.25" customHeight="1" thickBot="1" x14ac:dyDescent="0.25">
      <c r="A8" s="59" t="s">
        <v>0</v>
      </c>
      <c r="B8" s="60"/>
      <c r="C8" s="96"/>
      <c r="D8" s="97"/>
      <c r="E8" s="59"/>
      <c r="F8" s="100" t="s">
        <v>82</v>
      </c>
      <c r="G8" s="100"/>
      <c r="H8" s="61"/>
      <c r="I8" s="101"/>
      <c r="J8" s="101"/>
      <c r="K8" s="87" t="s">
        <v>75</v>
      </c>
      <c r="L8" s="88"/>
      <c r="M8" s="88"/>
      <c r="N8" s="88"/>
      <c r="O8" s="88"/>
      <c r="P8" s="88"/>
      <c r="Q8" s="89"/>
    </row>
    <row r="9" spans="1:17" ht="9" customHeight="1" x14ac:dyDescent="0.2">
      <c r="A9" s="37"/>
      <c r="B9" s="3"/>
      <c r="C9" s="2"/>
      <c r="D9" s="3"/>
      <c r="E9" s="2"/>
      <c r="F9" s="1"/>
      <c r="G9" s="1"/>
      <c r="H9" s="1"/>
      <c r="I9" s="1"/>
      <c r="J9" s="46"/>
      <c r="K9" s="37"/>
      <c r="L9" s="1"/>
      <c r="M9" s="1"/>
      <c r="Q9" s="27"/>
    </row>
    <row r="10" spans="1:17" ht="18" customHeight="1" x14ac:dyDescent="0.2">
      <c r="A10" s="37" t="s">
        <v>5</v>
      </c>
      <c r="B10" s="3"/>
      <c r="C10" s="21">
        <v>0</v>
      </c>
      <c r="D10" s="3" t="s">
        <v>25</v>
      </c>
      <c r="E10" s="84" t="s">
        <v>63</v>
      </c>
      <c r="F10" s="85" t="s">
        <v>56</v>
      </c>
      <c r="G10" s="1"/>
      <c r="H10" s="1"/>
      <c r="I10" s="1"/>
      <c r="J10" s="46"/>
      <c r="K10" s="37"/>
      <c r="L10" s="1"/>
      <c r="M10" s="1"/>
      <c r="Q10" s="27"/>
    </row>
    <row r="11" spans="1:17" ht="18" customHeight="1" x14ac:dyDescent="0.2">
      <c r="A11" s="37" t="s">
        <v>6</v>
      </c>
      <c r="B11" s="3"/>
      <c r="C11" s="21">
        <v>0</v>
      </c>
      <c r="D11" s="3" t="s">
        <v>25</v>
      </c>
      <c r="E11" s="84" t="s">
        <v>64</v>
      </c>
      <c r="F11" s="85" t="s">
        <v>57</v>
      </c>
      <c r="G11" s="1"/>
      <c r="H11" s="1"/>
      <c r="I11" s="1"/>
      <c r="J11" s="46"/>
      <c r="K11" s="40" t="s">
        <v>154</v>
      </c>
      <c r="L11" s="56" t="s">
        <v>76</v>
      </c>
      <c r="M11" s="1"/>
      <c r="Q11" s="27"/>
    </row>
    <row r="12" spans="1:17" ht="18" customHeight="1" x14ac:dyDescent="0.2">
      <c r="A12" s="37" t="s">
        <v>7</v>
      </c>
      <c r="B12" s="3"/>
      <c r="C12" s="21">
        <v>0</v>
      </c>
      <c r="D12" s="3" t="s">
        <v>25</v>
      </c>
      <c r="E12" s="84" t="s">
        <v>65</v>
      </c>
      <c r="F12" s="85" t="s">
        <v>58</v>
      </c>
      <c r="G12" s="1"/>
      <c r="H12" s="1"/>
      <c r="I12" s="1"/>
      <c r="J12" s="46"/>
      <c r="K12" s="37"/>
      <c r="L12" s="1"/>
      <c r="M12" s="1"/>
      <c r="Q12" s="27"/>
    </row>
    <row r="13" spans="1:17" ht="18" customHeight="1" x14ac:dyDescent="0.2">
      <c r="A13" s="37" t="s">
        <v>8</v>
      </c>
      <c r="B13" s="3"/>
      <c r="C13" s="19">
        <f>C10*C11</f>
        <v>0</v>
      </c>
      <c r="D13" s="3" t="s">
        <v>26</v>
      </c>
      <c r="E13" s="53"/>
      <c r="F13" s="1"/>
      <c r="G13" s="1"/>
      <c r="H13" s="1"/>
      <c r="I13" s="1"/>
      <c r="J13" s="46"/>
      <c r="K13" s="37"/>
      <c r="L13" s="1"/>
      <c r="M13" s="1"/>
      <c r="Q13" s="27"/>
    </row>
    <row r="14" spans="1:17" ht="18" customHeight="1" x14ac:dyDescent="0.2">
      <c r="A14" s="37"/>
      <c r="B14" s="3"/>
      <c r="C14" s="2"/>
      <c r="D14" s="3"/>
      <c r="E14" s="53"/>
      <c r="F14" s="1"/>
      <c r="G14" s="1"/>
      <c r="H14" s="1"/>
      <c r="I14" s="1"/>
      <c r="J14" s="46"/>
      <c r="K14" s="37"/>
      <c r="L14" s="1"/>
      <c r="M14" s="1"/>
      <c r="Q14" s="27"/>
    </row>
    <row r="15" spans="1:17" ht="18" customHeight="1" x14ac:dyDescent="0.2">
      <c r="A15" s="37" t="s">
        <v>1</v>
      </c>
      <c r="B15" s="3"/>
      <c r="C15" s="21">
        <v>20</v>
      </c>
      <c r="D15" s="3" t="s">
        <v>27</v>
      </c>
      <c r="E15" s="84" t="s">
        <v>66</v>
      </c>
      <c r="F15" s="85" t="s">
        <v>54</v>
      </c>
      <c r="G15" s="1"/>
      <c r="H15" s="1"/>
      <c r="I15" s="1"/>
      <c r="J15" s="46"/>
      <c r="K15" s="37"/>
      <c r="L15" s="1" t="s">
        <v>77</v>
      </c>
      <c r="M15" s="1"/>
      <c r="Q15" s="27"/>
    </row>
    <row r="16" spans="1:17" ht="18" customHeight="1" x14ac:dyDescent="0.2">
      <c r="A16" s="37" t="s">
        <v>2</v>
      </c>
      <c r="B16" s="3"/>
      <c r="C16" s="21">
        <v>75</v>
      </c>
      <c r="D16" s="3" t="s">
        <v>27</v>
      </c>
      <c r="E16" s="84" t="s">
        <v>67</v>
      </c>
      <c r="F16" s="85" t="s">
        <v>74</v>
      </c>
      <c r="G16" s="1"/>
      <c r="H16" s="1"/>
      <c r="I16" s="1"/>
      <c r="J16" s="46"/>
      <c r="K16" s="37"/>
      <c r="L16" s="1"/>
      <c r="M16" s="1"/>
      <c r="Q16" s="27"/>
    </row>
    <row r="17" spans="1:24" ht="18" customHeight="1" x14ac:dyDescent="0.2">
      <c r="A17" s="37" t="s">
        <v>3</v>
      </c>
      <c r="B17" s="3"/>
      <c r="C17" s="21">
        <v>65</v>
      </c>
      <c r="D17" s="3" t="s">
        <v>27</v>
      </c>
      <c r="E17" s="84" t="s">
        <v>68</v>
      </c>
      <c r="F17" s="85" t="s">
        <v>73</v>
      </c>
      <c r="G17" s="1"/>
      <c r="H17" s="1"/>
      <c r="I17" s="1"/>
      <c r="J17" s="46"/>
      <c r="K17" s="37"/>
      <c r="L17" s="1"/>
      <c r="M17" s="1"/>
      <c r="Q17" s="27"/>
      <c r="X17" s="16"/>
    </row>
    <row r="18" spans="1:24" ht="18" customHeight="1" x14ac:dyDescent="0.2">
      <c r="A18" s="37" t="s">
        <v>4</v>
      </c>
      <c r="B18" s="3"/>
      <c r="C18" s="19">
        <f>((C16+C17)/2)-C15</f>
        <v>50</v>
      </c>
      <c r="D18" s="3" t="s">
        <v>27</v>
      </c>
      <c r="E18" s="53"/>
      <c r="F18" s="1"/>
      <c r="G18" s="1"/>
      <c r="H18" s="1"/>
      <c r="I18" s="1"/>
      <c r="J18" s="46"/>
      <c r="K18" s="37"/>
      <c r="L18" s="1"/>
      <c r="M18" s="1"/>
      <c r="Q18" s="27"/>
    </row>
    <row r="19" spans="1:24" ht="18" customHeight="1" x14ac:dyDescent="0.2">
      <c r="A19" s="37"/>
      <c r="B19" s="3"/>
      <c r="C19" s="2"/>
      <c r="D19" s="3"/>
      <c r="E19" s="53"/>
      <c r="F19" s="1"/>
      <c r="G19" s="1"/>
      <c r="H19" s="1"/>
      <c r="I19" s="1"/>
      <c r="J19" s="46"/>
      <c r="K19" s="37"/>
      <c r="L19" s="1"/>
      <c r="M19" s="1"/>
      <c r="Q19" s="27"/>
    </row>
    <row r="20" spans="1:24" ht="18" customHeight="1" x14ac:dyDescent="0.2">
      <c r="A20" s="37" t="s">
        <v>9</v>
      </c>
      <c r="B20" s="3"/>
      <c r="C20" s="98" t="s">
        <v>86</v>
      </c>
      <c r="D20" s="99"/>
      <c r="E20" s="84" t="s">
        <v>69</v>
      </c>
      <c r="F20" s="11" t="s">
        <v>99</v>
      </c>
      <c r="H20" s="1"/>
      <c r="J20" s="27"/>
      <c r="K20" s="37"/>
      <c r="M20" s="1"/>
      <c r="Q20" s="27"/>
    </row>
    <row r="21" spans="1:24" ht="18" customHeight="1" x14ac:dyDescent="0.2">
      <c r="A21" s="37"/>
      <c r="B21" s="3"/>
      <c r="C21" s="98"/>
      <c r="D21" s="99"/>
      <c r="E21" s="53"/>
      <c r="H21" s="1"/>
      <c r="I21" s="102"/>
      <c r="J21" s="103"/>
      <c r="K21" s="37"/>
      <c r="L21" s="1" t="s">
        <v>78</v>
      </c>
      <c r="M21" s="1"/>
      <c r="Q21" s="27"/>
    </row>
    <row r="22" spans="1:24" ht="18" customHeight="1" x14ac:dyDescent="0.2">
      <c r="A22" s="37" t="s">
        <v>6</v>
      </c>
      <c r="B22" s="3"/>
      <c r="C22" s="22">
        <f>VLOOKUP(C$20,Data!$A$3:$B$15,2,FALSE)</f>
        <v>400</v>
      </c>
      <c r="D22" s="3" t="s">
        <v>28</v>
      </c>
      <c r="E22" s="53"/>
      <c r="F22" s="1"/>
      <c r="G22" s="1"/>
      <c r="H22" s="1"/>
      <c r="I22" s="1"/>
      <c r="J22" s="46"/>
      <c r="K22" s="37"/>
      <c r="L22" s="1"/>
      <c r="M22" s="1"/>
      <c r="Q22" s="27"/>
    </row>
    <row r="23" spans="1:24" ht="18" customHeight="1" x14ac:dyDescent="0.2">
      <c r="A23" s="37" t="s">
        <v>11</v>
      </c>
      <c r="B23" s="3"/>
      <c r="C23" s="22">
        <f>VLOOKUP(C$20,Data!$A$3:$C$15,3,FALSE)</f>
        <v>12</v>
      </c>
      <c r="D23" s="3" t="s">
        <v>28</v>
      </c>
      <c r="E23" s="53"/>
      <c r="F23" s="1"/>
      <c r="G23" s="1"/>
      <c r="H23" s="1"/>
      <c r="I23" s="1"/>
      <c r="J23" s="46"/>
      <c r="K23" s="37"/>
      <c r="L23" s="1"/>
      <c r="M23" s="1"/>
      <c r="Q23" s="27"/>
    </row>
    <row r="24" spans="1:24" ht="18" customHeight="1" x14ac:dyDescent="0.2">
      <c r="A24" s="37" t="s">
        <v>12</v>
      </c>
      <c r="B24" s="3"/>
      <c r="C24" s="22">
        <f>(VLOOKUP(C20,Data!A3:M15,10,FALSE))*C31</f>
        <v>0</v>
      </c>
      <c r="D24" s="3" t="s">
        <v>29</v>
      </c>
      <c r="E24" s="53"/>
      <c r="F24" s="1"/>
      <c r="G24" s="1"/>
      <c r="H24" s="1"/>
      <c r="I24" s="1"/>
      <c r="J24" s="46"/>
      <c r="K24" s="37"/>
      <c r="L24" s="1"/>
      <c r="M24" s="1"/>
      <c r="Q24" s="27"/>
    </row>
    <row r="25" spans="1:24" ht="18" customHeight="1" x14ac:dyDescent="0.2">
      <c r="A25" s="37" t="s">
        <v>13</v>
      </c>
      <c r="B25" s="3"/>
      <c r="C25" s="25">
        <f>(VLOOKUP(C20,Data!A3:M15,11,FALSE))*C31</f>
        <v>0</v>
      </c>
      <c r="D25" s="3" t="s">
        <v>29</v>
      </c>
      <c r="E25" s="53"/>
      <c r="F25" s="1"/>
      <c r="G25" s="1"/>
      <c r="H25" s="1"/>
      <c r="I25" s="1"/>
      <c r="J25" s="46"/>
      <c r="K25" s="37"/>
      <c r="M25" s="1"/>
      <c r="Q25" s="27"/>
    </row>
    <row r="26" spans="1:24" ht="18" customHeight="1" x14ac:dyDescent="0.2">
      <c r="A26" s="37" t="s">
        <v>158</v>
      </c>
      <c r="B26" s="3"/>
      <c r="C26" s="23">
        <f>VLOOKUP(C$20,Data!$A$3:$I$15,9,FALSE)</f>
        <v>194.26550247867573</v>
      </c>
      <c r="D26" s="3" t="s">
        <v>30</v>
      </c>
      <c r="E26" s="53"/>
      <c r="F26" s="17"/>
      <c r="G26" s="1"/>
      <c r="H26" s="1"/>
      <c r="I26" s="17"/>
      <c r="J26" s="46"/>
      <c r="K26" s="37"/>
      <c r="L26" s="1" t="s">
        <v>79</v>
      </c>
      <c r="M26" s="1"/>
      <c r="Q26" s="27"/>
    </row>
    <row r="27" spans="1:24" ht="18" customHeight="1" x14ac:dyDescent="0.2">
      <c r="A27" s="37"/>
      <c r="B27" s="3"/>
      <c r="C27" s="2"/>
      <c r="D27" s="3"/>
      <c r="E27" s="53"/>
      <c r="F27" s="1"/>
      <c r="G27" s="1"/>
      <c r="H27" s="1"/>
      <c r="I27" s="1"/>
      <c r="J27" s="46"/>
      <c r="K27" s="37"/>
      <c r="L27" s="1"/>
      <c r="M27" s="1"/>
      <c r="Q27" s="27"/>
    </row>
    <row r="28" spans="1:24" ht="18" customHeight="1" x14ac:dyDescent="0.2">
      <c r="A28" s="37" t="s">
        <v>14</v>
      </c>
      <c r="B28" s="3"/>
      <c r="C28" s="21">
        <v>1</v>
      </c>
      <c r="D28" s="3" t="s">
        <v>31</v>
      </c>
      <c r="E28" s="84">
        <v>8</v>
      </c>
      <c r="F28" s="85" t="s">
        <v>55</v>
      </c>
      <c r="G28" s="1"/>
      <c r="H28" s="1"/>
      <c r="I28" s="1"/>
      <c r="J28" s="46"/>
      <c r="K28" s="40"/>
      <c r="L28" s="1"/>
      <c r="M28" s="1"/>
      <c r="Q28" s="27"/>
    </row>
    <row r="29" spans="1:24" ht="18" customHeight="1" x14ac:dyDescent="0.2">
      <c r="A29" s="37" t="s">
        <v>15</v>
      </c>
      <c r="B29" s="3"/>
      <c r="C29" s="22">
        <f>ROUNDUP(C$32/6,0)</f>
        <v>0</v>
      </c>
      <c r="D29" s="3" t="s">
        <v>31</v>
      </c>
      <c r="E29" s="84"/>
      <c r="F29" s="85" t="s">
        <v>72</v>
      </c>
      <c r="G29" s="1"/>
      <c r="H29" s="1"/>
      <c r="I29" s="1"/>
      <c r="J29" s="46"/>
      <c r="K29" s="37" t="s">
        <v>108</v>
      </c>
      <c r="L29" s="1"/>
      <c r="M29" s="1"/>
      <c r="Q29" s="27"/>
    </row>
    <row r="30" spans="1:24" ht="18" customHeight="1" x14ac:dyDescent="0.2">
      <c r="A30" s="37" t="s">
        <v>17</v>
      </c>
      <c r="B30" s="3"/>
      <c r="C30" s="22">
        <f>VLOOKUP(C20,Data!A3:L15,12,FALSE)</f>
        <v>0</v>
      </c>
      <c r="D30" s="3" t="s">
        <v>25</v>
      </c>
      <c r="E30" s="53"/>
      <c r="F30" s="1"/>
      <c r="G30" s="1"/>
      <c r="H30" s="1"/>
      <c r="I30" s="1"/>
      <c r="J30" s="46"/>
      <c r="K30" s="37"/>
      <c r="L30" s="1"/>
      <c r="M30" s="1"/>
      <c r="Q30" s="27"/>
    </row>
    <row r="31" spans="1:24" ht="18" customHeight="1" x14ac:dyDescent="0.2">
      <c r="A31" s="37" t="s">
        <v>102</v>
      </c>
      <c r="B31" s="3"/>
      <c r="C31" s="22">
        <f>VLOOKUP(C20,Data!A3:M15,13,FALSE)</f>
        <v>0</v>
      </c>
      <c r="D31" s="3" t="s">
        <v>25</v>
      </c>
      <c r="E31" s="53"/>
      <c r="G31" s="1"/>
      <c r="H31" s="1"/>
      <c r="I31" s="1"/>
      <c r="J31" s="46"/>
      <c r="K31" s="1" t="s">
        <v>103</v>
      </c>
      <c r="L31" s="1"/>
      <c r="M31" s="1"/>
      <c r="Q31" s="27"/>
    </row>
    <row r="32" spans="1:24" ht="18" customHeight="1" x14ac:dyDescent="0.2">
      <c r="A32" s="37" t="s">
        <v>107</v>
      </c>
      <c r="B32" s="3"/>
      <c r="C32" s="21">
        <v>0</v>
      </c>
      <c r="D32" s="3" t="s">
        <v>25</v>
      </c>
      <c r="E32" s="84">
        <v>9</v>
      </c>
      <c r="F32" s="85" t="s">
        <v>59</v>
      </c>
      <c r="G32" s="1"/>
      <c r="H32" s="1"/>
      <c r="I32" s="1"/>
      <c r="J32" s="46"/>
      <c r="K32" s="1" t="s">
        <v>80</v>
      </c>
      <c r="L32" s="1"/>
      <c r="M32" s="1"/>
      <c r="Q32" s="27"/>
    </row>
    <row r="33" spans="1:17" ht="18" customHeight="1" x14ac:dyDescent="0.2">
      <c r="A33" s="37" t="s">
        <v>18</v>
      </c>
      <c r="B33" s="3"/>
      <c r="C33" s="23">
        <f>C26*C30</f>
        <v>0</v>
      </c>
      <c r="D33" s="3" t="s">
        <v>30</v>
      </c>
      <c r="E33" s="2"/>
      <c r="F33" s="17"/>
      <c r="G33" s="1"/>
      <c r="H33" s="1"/>
      <c r="I33" s="17"/>
      <c r="J33" s="46"/>
      <c r="K33" s="1" t="s">
        <v>81</v>
      </c>
      <c r="L33" s="1"/>
      <c r="M33" s="1"/>
      <c r="Q33" s="27"/>
    </row>
    <row r="34" spans="1:17" ht="18" customHeight="1" x14ac:dyDescent="0.2">
      <c r="A34" s="37" t="s">
        <v>19</v>
      </c>
      <c r="B34" s="3"/>
      <c r="C34" s="24">
        <f>(C33*C28)/1000</f>
        <v>0</v>
      </c>
      <c r="D34" s="3" t="s">
        <v>32</v>
      </c>
      <c r="E34" s="2"/>
      <c r="F34" s="18"/>
      <c r="G34" s="1"/>
      <c r="H34" s="1"/>
      <c r="I34" s="18"/>
      <c r="J34" s="46"/>
      <c r="K34" s="37"/>
      <c r="L34" s="1"/>
      <c r="M34" s="1"/>
      <c r="Q34" s="27"/>
    </row>
    <row r="35" spans="1:17" ht="18" customHeight="1" x14ac:dyDescent="0.2">
      <c r="A35" s="37" t="s">
        <v>20</v>
      </c>
      <c r="B35" s="3"/>
      <c r="C35" s="25" t="e">
        <f>IF(C10="",0,(C33*C28)/C13)</f>
        <v>#DIV/0!</v>
      </c>
      <c r="D35" s="3" t="s">
        <v>33</v>
      </c>
      <c r="E35" s="2"/>
      <c r="F35" s="18"/>
      <c r="G35" s="1"/>
      <c r="H35" s="1"/>
      <c r="I35" s="18"/>
      <c r="J35" s="46"/>
      <c r="K35" s="37"/>
      <c r="L35" s="1"/>
      <c r="M35" s="1"/>
      <c r="Q35" s="27"/>
    </row>
    <row r="36" spans="1:17" ht="18" customHeight="1" x14ac:dyDescent="0.2">
      <c r="A36" s="37" t="s">
        <v>21</v>
      </c>
      <c r="B36" s="3"/>
      <c r="C36" s="68">
        <f>(C$33/(1.164*(C$16-C$17)))/3600</f>
        <v>0</v>
      </c>
      <c r="D36" s="3" t="s">
        <v>34</v>
      </c>
      <c r="E36" s="2"/>
      <c r="F36" s="62" t="s">
        <v>100</v>
      </c>
      <c r="G36" s="1"/>
      <c r="H36" s="1"/>
      <c r="I36" s="67" t="s">
        <v>165</v>
      </c>
      <c r="J36" s="65">
        <f>VLOOKUP(C20,Data!A3:P15,16,FALSE)</f>
        <v>0.02</v>
      </c>
      <c r="K36" s="37" t="s">
        <v>106</v>
      </c>
      <c r="L36" s="1"/>
      <c r="M36" s="1"/>
      <c r="Q36" s="27"/>
    </row>
    <row r="37" spans="1:17" ht="18" customHeight="1" x14ac:dyDescent="0.2">
      <c r="A37" s="37" t="s">
        <v>22</v>
      </c>
      <c r="B37" s="3"/>
      <c r="C37" s="23">
        <f>C$36*3600</f>
        <v>0</v>
      </c>
      <c r="D37" s="3" t="s">
        <v>35</v>
      </c>
      <c r="E37" s="2"/>
      <c r="F37" s="17"/>
      <c r="G37" s="1"/>
      <c r="H37" s="1"/>
      <c r="I37" s="67" t="s">
        <v>101</v>
      </c>
      <c r="J37" s="66">
        <f>J36*3600</f>
        <v>72</v>
      </c>
      <c r="K37" s="37" t="s">
        <v>105</v>
      </c>
      <c r="L37" s="1"/>
      <c r="M37" s="1"/>
      <c r="Q37" s="27"/>
    </row>
    <row r="38" spans="1:17" ht="18" hidden="1" customHeight="1" x14ac:dyDescent="0.2">
      <c r="A38" s="47" t="s">
        <v>23</v>
      </c>
      <c r="B38" s="3"/>
      <c r="C38" s="20"/>
      <c r="D38" s="3" t="s">
        <v>36</v>
      </c>
      <c r="E38" s="2"/>
      <c r="F38" s="18"/>
      <c r="G38" s="1"/>
      <c r="H38" s="1"/>
      <c r="I38" s="18"/>
      <c r="J38" s="46"/>
      <c r="K38" s="37"/>
      <c r="L38" s="1"/>
      <c r="M38" s="1"/>
      <c r="Q38" s="27"/>
    </row>
    <row r="39" spans="1:17" ht="18" customHeight="1" x14ac:dyDescent="0.2">
      <c r="A39" s="37"/>
      <c r="B39" s="3"/>
      <c r="C39" s="2"/>
      <c r="D39" s="3"/>
      <c r="E39" s="2"/>
      <c r="F39" s="1"/>
      <c r="G39" s="1"/>
      <c r="H39" s="1"/>
      <c r="I39" s="1"/>
      <c r="J39" s="46"/>
      <c r="K39" s="37"/>
      <c r="L39" s="1"/>
      <c r="M39" s="1"/>
      <c r="Q39" s="27"/>
    </row>
    <row r="40" spans="1:17" ht="18" customHeight="1" x14ac:dyDescent="0.2">
      <c r="A40" s="37" t="s">
        <v>24</v>
      </c>
      <c r="B40" s="3"/>
      <c r="C40" s="19">
        <f>C28*C29</f>
        <v>0</v>
      </c>
      <c r="D40" s="3" t="s">
        <v>31</v>
      </c>
      <c r="E40" s="2"/>
      <c r="F40" s="1"/>
      <c r="G40" s="1"/>
      <c r="H40" s="1"/>
      <c r="I40" s="1"/>
      <c r="J40" s="46"/>
      <c r="K40" s="37"/>
      <c r="L40" s="1"/>
      <c r="M40" s="1"/>
      <c r="Q40" s="27"/>
    </row>
    <row r="41" spans="1:17" ht="18" customHeight="1" x14ac:dyDescent="0.2">
      <c r="A41" s="57"/>
      <c r="B41" s="4"/>
      <c r="C41" s="54"/>
      <c r="D41" s="4"/>
      <c r="E41" s="54"/>
      <c r="F41" s="55"/>
      <c r="G41" s="55"/>
      <c r="H41" s="55"/>
      <c r="I41" s="55"/>
      <c r="J41" s="58"/>
      <c r="K41" s="37"/>
      <c r="L41" s="1"/>
      <c r="M41" s="1"/>
      <c r="Q41" s="27"/>
    </row>
    <row r="42" spans="1:17" x14ac:dyDescent="0.2">
      <c r="A42" s="37"/>
      <c r="B42" s="1"/>
      <c r="C42" s="1"/>
      <c r="D42" s="1"/>
      <c r="E42" s="1"/>
      <c r="F42" s="1"/>
      <c r="G42" s="1"/>
      <c r="H42" s="1"/>
      <c r="I42" s="1"/>
      <c r="J42" s="46"/>
      <c r="K42" s="37"/>
      <c r="L42" s="1"/>
      <c r="M42" s="1"/>
      <c r="Q42" s="27"/>
    </row>
    <row r="43" spans="1:17" ht="23.25" customHeight="1" x14ac:dyDescent="0.2">
      <c r="A43" s="48" t="s">
        <v>37</v>
      </c>
      <c r="B43" s="5"/>
      <c r="C43" s="13">
        <f>IF((C36)&lt;(J36-0.0005),0,C34)</f>
        <v>0</v>
      </c>
      <c r="D43" s="6" t="s">
        <v>32</v>
      </c>
      <c r="E43" s="1"/>
      <c r="F43" s="91" t="s">
        <v>40</v>
      </c>
      <c r="G43" s="92"/>
      <c r="H43" s="92"/>
      <c r="I43" s="15" t="e">
        <f>C35+F35+I35</f>
        <v>#DIV/0!</v>
      </c>
      <c r="J43" s="49" t="s">
        <v>33</v>
      </c>
      <c r="K43" s="37"/>
      <c r="L43" s="1"/>
      <c r="M43" s="1"/>
      <c r="Q43" s="27"/>
    </row>
    <row r="44" spans="1:17" ht="23.25" customHeight="1" x14ac:dyDescent="0.2">
      <c r="A44" s="50" t="s">
        <v>38</v>
      </c>
      <c r="B44" s="7"/>
      <c r="C44" s="14">
        <f>(C37*C28)</f>
        <v>0</v>
      </c>
      <c r="D44" s="8" t="s">
        <v>35</v>
      </c>
      <c r="E44" s="1"/>
      <c r="F44" s="90"/>
      <c r="G44" s="90"/>
      <c r="H44" s="90"/>
      <c r="I44" s="1"/>
      <c r="J44" s="46"/>
      <c r="K44" s="37"/>
      <c r="L44" s="1"/>
      <c r="M44" s="1"/>
      <c r="Q44" s="27"/>
    </row>
    <row r="45" spans="1:17" ht="23.25" customHeight="1" x14ac:dyDescent="0.2">
      <c r="A45" s="51" t="s">
        <v>39</v>
      </c>
      <c r="B45" s="9"/>
      <c r="C45" s="80">
        <f>Painehäviö!N10</f>
        <v>0</v>
      </c>
      <c r="D45" s="10" t="s">
        <v>36</v>
      </c>
      <c r="E45" s="1"/>
      <c r="F45" s="90"/>
      <c r="G45" s="90"/>
      <c r="H45" s="90"/>
      <c r="I45" s="1"/>
      <c r="J45" s="46"/>
      <c r="K45" s="37"/>
      <c r="L45" s="1"/>
      <c r="M45" s="1"/>
      <c r="Q45" s="27"/>
    </row>
    <row r="46" spans="1:17" ht="16" thickBot="1" x14ac:dyDescent="0.25">
      <c r="A46" s="38"/>
      <c r="B46" s="39"/>
      <c r="C46" s="39"/>
      <c r="D46" s="39"/>
      <c r="E46" s="39"/>
      <c r="F46" s="39"/>
      <c r="G46" s="39"/>
      <c r="H46" s="39"/>
      <c r="I46" s="39"/>
      <c r="J46" s="52"/>
      <c r="K46" s="38"/>
      <c r="L46" s="39"/>
      <c r="M46" s="39"/>
      <c r="N46" s="30"/>
      <c r="O46" s="30"/>
      <c r="P46" s="30"/>
      <c r="Q46" s="31"/>
    </row>
    <row r="47" spans="1:17" x14ac:dyDescent="0.2">
      <c r="A47" s="86" t="s">
        <v>166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sheetProtection algorithmName="SHA-512" hashValue="sy6lTDKTQ/+THMjXhLc8uNKvXDt1AqV0pCvfTMAK61Y4KlEs1ghTQa3Rnq8TcR9lfAaVItm02NGhuJc6Thr3Rg==" saltValue="/ZeViMO+Sj2uhEf1/HobgA==" spinCount="100000" sheet="1" objects="1" scenarios="1"/>
  <dataConsolidate/>
  <mergeCells count="11">
    <mergeCell ref="K8:Q8"/>
    <mergeCell ref="F44:H44"/>
    <mergeCell ref="F45:H45"/>
    <mergeCell ref="F43:H43"/>
    <mergeCell ref="A6:J6"/>
    <mergeCell ref="C8:D8"/>
    <mergeCell ref="C20:D20"/>
    <mergeCell ref="C21:D21"/>
    <mergeCell ref="F8:G8"/>
    <mergeCell ref="I8:J8"/>
    <mergeCell ref="I21:J21"/>
  </mergeCells>
  <conditionalFormatting sqref="C36">
    <cfRule type="cellIs" dxfId="1" priority="2" operator="lessThan">
      <formula>$J$36-0.0005</formula>
    </cfRule>
    <cfRule type="iconSet" priority="5">
      <iconSet iconSet="3Symbols">
        <cfvo type="percent" val="0"/>
        <cfvo type="percent" val="33"/>
        <cfvo type="percent" val="67"/>
      </iconSet>
    </cfRule>
  </conditionalFormatting>
  <conditionalFormatting sqref="C43">
    <cfRule type="cellIs" dxfId="0" priority="1" operator="equal">
      <formula>0</formula>
    </cfRule>
  </conditionalFormatting>
  <dataValidations count="2">
    <dataValidation type="list" showInputMessage="1" showErrorMessage="1" sqref="X17" xr:uid="{00000000-0002-0000-0000-000000000000}">
      <formula1>Panelmodell</formula1>
    </dataValidation>
    <dataValidation type="list" allowBlank="1" showInputMessage="1" showErrorMessage="1" error="Väärä kytkentätyyppi" prompt="S-kytkentää ei ole malleille Casa 400 ja Arena 615" sqref="I21:J21" xr:uid="{00000000-0002-0000-0000-000001000000}">
      <formula1>Kopplingstyp1</formula1>
    </dataValidation>
  </dataValidations>
  <pageMargins left="0.70866141732283472" right="0.31496062992125984" top="0.15748031496062992" bottom="0.35433070866141736" header="0.11811023622047245" footer="0.11811023622047245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2F1CEF1E-A067-4D7A-99FA-049F501E0452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>
                <xm:f>$J$36-0.0005</xm:f>
              </x14:cfvo>
              <x14:cfIcon iconSet="3Symbols" iconId="0"/>
              <x14:cfIcon iconSet="3Symbols" iconId="0"/>
              <x14:cfIcon iconSet="3Symbols" iconId="2"/>
            </x14:iconSet>
          </x14:cfRule>
          <xm:sqref>C36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="Käytä pudotusvalikkoa" prompt="Valitse kattosäteilijä ja kytkentätyyppi" xr:uid="{2B4E9A26-AF39-4FCF-B2F9-9687B7E82340}">
          <x14:formula1>
            <xm:f>Data!$A$3:$A$15</xm:f>
          </x14:formula1>
          <xm:sqref>C20:D20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8"/>
  <sheetViews>
    <sheetView topLeftCell="O1" workbookViewId="0">
      <selection activeCell="I3" sqref="I3"/>
    </sheetView>
  </sheetViews>
  <sheetFormatPr baseColWidth="10" defaultColWidth="8.83203125" defaultRowHeight="15" x14ac:dyDescent="0.2"/>
  <cols>
    <col min="1" max="1" width="11.33203125" customWidth="1"/>
    <col min="3" max="3" width="11.83203125" customWidth="1"/>
    <col min="4" max="4" width="11.6640625" customWidth="1"/>
    <col min="5" max="5" width="13" customWidth="1"/>
    <col min="10" max="10" width="13.6640625" customWidth="1"/>
    <col min="11" max="11" width="15.5" customWidth="1"/>
    <col min="12" max="12" width="11.1640625" customWidth="1"/>
    <col min="13" max="13" width="11.6640625" customWidth="1"/>
    <col min="14" max="24" width="10.6640625" customWidth="1"/>
    <col min="25" max="26" width="11.33203125" customWidth="1"/>
    <col min="27" max="27" width="11.5" customWidth="1"/>
    <col min="28" max="28" width="11.83203125" customWidth="1"/>
  </cols>
  <sheetData>
    <row r="1" spans="1:33" ht="16" thickBot="1" x14ac:dyDescent="0.25"/>
    <row r="2" spans="1:33" ht="48" x14ac:dyDescent="0.2">
      <c r="A2" s="79" t="s">
        <v>42</v>
      </c>
      <c r="B2" s="79" t="s">
        <v>6</v>
      </c>
      <c r="C2" s="79" t="s">
        <v>43</v>
      </c>
      <c r="D2" s="105" t="s">
        <v>10</v>
      </c>
      <c r="E2" s="106"/>
      <c r="F2" s="106"/>
      <c r="G2" s="81" t="s">
        <v>157</v>
      </c>
      <c r="H2" s="81" t="s">
        <v>156</v>
      </c>
      <c r="I2" s="79" t="s">
        <v>46</v>
      </c>
      <c r="J2" s="79" t="s">
        <v>52</v>
      </c>
      <c r="K2" s="79" t="s">
        <v>53</v>
      </c>
      <c r="L2" s="79" t="s">
        <v>51</v>
      </c>
      <c r="M2" s="79" t="s">
        <v>16</v>
      </c>
      <c r="N2" s="79" t="s">
        <v>83</v>
      </c>
      <c r="O2" s="79" t="s">
        <v>84</v>
      </c>
      <c r="P2" s="79" t="s">
        <v>85</v>
      </c>
      <c r="Q2" s="79" t="s">
        <v>144</v>
      </c>
      <c r="R2" s="79" t="s">
        <v>113</v>
      </c>
      <c r="S2" s="79" t="s">
        <v>146</v>
      </c>
      <c r="T2" s="79" t="s">
        <v>145</v>
      </c>
      <c r="U2" s="79" t="s">
        <v>147</v>
      </c>
      <c r="V2" s="79" t="s">
        <v>148</v>
      </c>
      <c r="W2" s="79" t="s">
        <v>150</v>
      </c>
      <c r="X2" s="79" t="s">
        <v>149</v>
      </c>
      <c r="Y2" s="79" t="s">
        <v>164</v>
      </c>
      <c r="Z2" s="79" t="s">
        <v>163</v>
      </c>
      <c r="AA2" s="79" t="s">
        <v>162</v>
      </c>
      <c r="AB2" s="32" t="s">
        <v>70</v>
      </c>
      <c r="AC2" s="33"/>
      <c r="AD2" s="33"/>
      <c r="AE2" s="33"/>
      <c r="AF2" s="33"/>
      <c r="AG2" s="34"/>
    </row>
    <row r="3" spans="1:33" x14ac:dyDescent="0.2">
      <c r="A3" t="s">
        <v>86</v>
      </c>
      <c r="B3">
        <v>400</v>
      </c>
      <c r="C3">
        <v>12</v>
      </c>
      <c r="D3" t="s">
        <v>41</v>
      </c>
      <c r="G3">
        <v>1.9489000000000001</v>
      </c>
      <c r="H3">
        <v>1.1519999999999999</v>
      </c>
      <c r="I3" s="12">
        <f>($G3*(((Mitoitus!$C$16+Mitoitus!$C$17)/2)-Mitoitus!$C$15)^$H3)*1.1</f>
        <v>194.26550247867573</v>
      </c>
      <c r="J3">
        <v>2.6</v>
      </c>
      <c r="K3">
        <v>2.76</v>
      </c>
      <c r="L3">
        <f>M3-(Mitoitus!$C$29*0.1)</f>
        <v>0</v>
      </c>
      <c r="M3">
        <f>ROUND(Mitoitus!$C$32,1)</f>
        <v>0</v>
      </c>
      <c r="N3" s="82">
        <v>3.5819999999999999</v>
      </c>
      <c r="O3" s="82">
        <v>1.0109999999999999</v>
      </c>
      <c r="P3">
        <v>0.02</v>
      </c>
      <c r="Q3">
        <v>0.01</v>
      </c>
      <c r="R3">
        <v>10</v>
      </c>
      <c r="S3">
        <v>2</v>
      </c>
      <c r="T3">
        <f>(M3*2)+0.2</f>
        <v>0.2</v>
      </c>
      <c r="U3">
        <v>0</v>
      </c>
      <c r="V3">
        <v>0</v>
      </c>
      <c r="W3" s="63">
        <f>Mitoitus!C36</f>
        <v>0</v>
      </c>
      <c r="X3" s="63">
        <v>0</v>
      </c>
      <c r="Y3" s="63"/>
      <c r="Z3" s="63"/>
      <c r="AA3" s="63"/>
      <c r="AB3" s="26">
        <v>42132</v>
      </c>
      <c r="AC3" t="s">
        <v>71</v>
      </c>
      <c r="AG3" s="27"/>
    </row>
    <row r="4" spans="1:33" x14ac:dyDescent="0.2">
      <c r="A4" t="s">
        <v>87</v>
      </c>
      <c r="B4">
        <v>400</v>
      </c>
      <c r="C4">
        <v>12</v>
      </c>
      <c r="E4" t="s">
        <v>44</v>
      </c>
      <c r="G4">
        <v>1.9489000000000001</v>
      </c>
      <c r="H4">
        <v>1.1519999999999999</v>
      </c>
      <c r="I4" s="12">
        <f>($G4*(((Mitoitus!$C$16+Mitoitus!$C$17)/2)-Mitoitus!$C$15)^$H4)*1.1</f>
        <v>194.26550247867573</v>
      </c>
      <c r="J4">
        <v>2.6</v>
      </c>
      <c r="K4">
        <v>2.76</v>
      </c>
      <c r="L4">
        <f>M4-(Mitoitus!$C$29*0.1)</f>
        <v>0</v>
      </c>
      <c r="M4">
        <f>ROUND(Mitoitus!$C$32,1)</f>
        <v>0</v>
      </c>
      <c r="N4" s="82">
        <v>3.5819999999999999</v>
      </c>
      <c r="O4" s="82">
        <v>1.0109999999999999</v>
      </c>
      <c r="P4">
        <v>0.04</v>
      </c>
      <c r="Q4">
        <v>0.01</v>
      </c>
      <c r="R4">
        <v>10</v>
      </c>
      <c r="S4">
        <v>0</v>
      </c>
      <c r="T4">
        <v>0</v>
      </c>
      <c r="U4">
        <v>2</v>
      </c>
      <c r="V4">
        <f>M4+0.2</f>
        <v>0.2</v>
      </c>
      <c r="W4" s="63">
        <v>0</v>
      </c>
      <c r="X4" s="63">
        <f>Mitoitus!C36/2</f>
        <v>0</v>
      </c>
      <c r="Y4" s="63"/>
      <c r="Z4" s="63"/>
      <c r="AA4" s="63"/>
      <c r="AB4" s="26">
        <v>43510</v>
      </c>
      <c r="AC4" t="s">
        <v>104</v>
      </c>
      <c r="AG4" s="27"/>
    </row>
    <row r="5" spans="1:33" x14ac:dyDescent="0.2">
      <c r="A5" t="s">
        <v>88</v>
      </c>
      <c r="B5">
        <v>800</v>
      </c>
      <c r="C5">
        <v>15</v>
      </c>
      <c r="D5" t="s">
        <v>41</v>
      </c>
      <c r="G5">
        <v>3.8296999999999999</v>
      </c>
      <c r="H5">
        <v>1.1397999999999999</v>
      </c>
      <c r="I5" s="12">
        <f>($G5*(((Mitoitus!$C$16+Mitoitus!$C$17)/2)-Mitoitus!$C$15)^$H5)*1.1</f>
        <v>363.95144742111523</v>
      </c>
      <c r="J5">
        <v>5.2</v>
      </c>
      <c r="K5">
        <v>5.5</v>
      </c>
      <c r="L5">
        <f>M5-(Mitoitus!$C$29*0.1)</f>
        <v>0</v>
      </c>
      <c r="M5">
        <f>ROUND(Mitoitus!$C$32,1)</f>
        <v>0</v>
      </c>
      <c r="N5" s="82"/>
      <c r="O5" s="82"/>
      <c r="P5">
        <v>0.04</v>
      </c>
      <c r="Q5">
        <v>0.01</v>
      </c>
      <c r="R5">
        <v>10</v>
      </c>
      <c r="S5">
        <v>0</v>
      </c>
      <c r="T5">
        <v>0</v>
      </c>
      <c r="U5">
        <v>3</v>
      </c>
      <c r="V5">
        <f>(M5*2)+0.6</f>
        <v>0.6</v>
      </c>
      <c r="W5" s="63">
        <v>0</v>
      </c>
      <c r="X5" s="63">
        <f>Mitoitus!C36/2</f>
        <v>0</v>
      </c>
      <c r="Y5" s="63"/>
      <c r="Z5" s="63"/>
      <c r="AA5" s="63"/>
      <c r="AB5" s="26">
        <v>45208</v>
      </c>
      <c r="AC5" t="s">
        <v>153</v>
      </c>
      <c r="AG5" s="27"/>
    </row>
    <row r="6" spans="1:33" x14ac:dyDescent="0.2">
      <c r="A6" t="s">
        <v>89</v>
      </c>
      <c r="B6">
        <v>800</v>
      </c>
      <c r="C6">
        <v>15</v>
      </c>
      <c r="E6" t="s">
        <v>44</v>
      </c>
      <c r="G6">
        <v>3.8296999999999999</v>
      </c>
      <c r="H6">
        <v>1.1397999999999999</v>
      </c>
      <c r="I6" s="12">
        <f>($G6*(((Mitoitus!$C$16+Mitoitus!$C$17)/2)-Mitoitus!$C$15)^$H6)*1.1</f>
        <v>363.95144742111523</v>
      </c>
      <c r="J6">
        <v>5.2</v>
      </c>
      <c r="K6">
        <v>5.5</v>
      </c>
      <c r="L6">
        <f>M6-(Mitoitus!$C$29*0.1)</f>
        <v>0</v>
      </c>
      <c r="M6">
        <f>ROUND(Mitoitus!$C$32,1)</f>
        <v>0</v>
      </c>
      <c r="N6" s="82"/>
      <c r="O6" s="82"/>
      <c r="P6">
        <v>0.08</v>
      </c>
      <c r="Q6">
        <v>0.01</v>
      </c>
      <c r="R6">
        <v>10</v>
      </c>
      <c r="S6">
        <v>0</v>
      </c>
      <c r="T6">
        <v>0</v>
      </c>
      <c r="U6">
        <v>2</v>
      </c>
      <c r="V6">
        <f>M6+0.6</f>
        <v>0.6</v>
      </c>
      <c r="W6" s="63">
        <v>0</v>
      </c>
      <c r="X6" s="63">
        <f>Mitoitus!C36/4</f>
        <v>0</v>
      </c>
      <c r="Y6" s="63"/>
      <c r="Z6" s="63"/>
      <c r="AA6" s="63"/>
      <c r="AB6" s="26">
        <v>45441</v>
      </c>
      <c r="AC6" t="s">
        <v>155</v>
      </c>
      <c r="AG6" s="27"/>
    </row>
    <row r="7" spans="1:33" x14ac:dyDescent="0.2">
      <c r="A7" t="s">
        <v>90</v>
      </c>
      <c r="B7">
        <v>800</v>
      </c>
      <c r="C7">
        <v>15</v>
      </c>
      <c r="F7" t="s">
        <v>45</v>
      </c>
      <c r="G7">
        <v>3.8296999999999999</v>
      </c>
      <c r="H7">
        <v>1.1397999999999999</v>
      </c>
      <c r="I7" s="12">
        <f>($G7*(((Mitoitus!$C$16+Mitoitus!$C$17)/2)-Mitoitus!$C$15)^$H7)*1.1</f>
        <v>363.95144742111523</v>
      </c>
      <c r="J7">
        <v>5.2</v>
      </c>
      <c r="K7">
        <v>5.5</v>
      </c>
      <c r="L7">
        <f>M7-(Mitoitus!$C$29*0.1)</f>
        <v>0</v>
      </c>
      <c r="M7">
        <f>ROUND(Mitoitus!$C$32,1)</f>
        <v>0</v>
      </c>
      <c r="N7" s="82"/>
      <c r="O7" s="82"/>
      <c r="P7">
        <v>0.02</v>
      </c>
      <c r="Q7">
        <v>0.01</v>
      </c>
      <c r="R7">
        <v>10</v>
      </c>
      <c r="S7">
        <v>6</v>
      </c>
      <c r="T7">
        <f>(M7*4)+(0.2*2)</f>
        <v>0.4</v>
      </c>
      <c r="U7">
        <v>0</v>
      </c>
      <c r="V7">
        <v>0</v>
      </c>
      <c r="W7" s="63">
        <f>Mitoitus!C36</f>
        <v>0</v>
      </c>
      <c r="X7" s="63">
        <v>0</v>
      </c>
      <c r="Y7" s="63"/>
      <c r="Z7" s="63"/>
      <c r="AA7" s="63"/>
      <c r="AB7" s="26">
        <v>45540</v>
      </c>
      <c r="AC7" t="s">
        <v>160</v>
      </c>
      <c r="AG7" s="27"/>
    </row>
    <row r="8" spans="1:33" x14ac:dyDescent="0.2">
      <c r="A8" t="s">
        <v>91</v>
      </c>
      <c r="B8">
        <v>1200</v>
      </c>
      <c r="C8">
        <v>15</v>
      </c>
      <c r="D8" t="s">
        <v>41</v>
      </c>
      <c r="G8">
        <v>5.6501000000000001</v>
      </c>
      <c r="H8">
        <v>1.1380999999999999</v>
      </c>
      <c r="I8" s="12">
        <f>($G8*(((Mitoitus!$C$16+Mitoitus!$C$17)/2)-Mitoitus!$C$15)^$H8)*1.1</f>
        <v>533.39210288527636</v>
      </c>
      <c r="J8">
        <v>7.8</v>
      </c>
      <c r="K8">
        <v>8.3000000000000007</v>
      </c>
      <c r="L8">
        <f>M8-(Mitoitus!$C$29*0.1)</f>
        <v>0</v>
      </c>
      <c r="M8">
        <f>ROUND(Mitoitus!$C$32,1)</f>
        <v>0</v>
      </c>
      <c r="N8" s="82">
        <v>5.0609999999999999</v>
      </c>
      <c r="O8" s="82">
        <v>1.1679999999999999</v>
      </c>
      <c r="P8">
        <v>0.06</v>
      </c>
      <c r="Q8">
        <v>0.01</v>
      </c>
      <c r="R8">
        <v>10</v>
      </c>
      <c r="S8">
        <v>0</v>
      </c>
      <c r="T8">
        <v>0</v>
      </c>
      <c r="U8">
        <v>4</v>
      </c>
      <c r="V8" s="64">
        <f>(M8*2)+1</f>
        <v>1</v>
      </c>
      <c r="W8" s="63">
        <v>0</v>
      </c>
      <c r="X8" s="63">
        <f>Mitoitus!C36/3</f>
        <v>0</v>
      </c>
      <c r="Y8" s="63"/>
      <c r="Z8" s="63"/>
      <c r="AA8" s="63"/>
      <c r="AB8" s="28"/>
      <c r="AG8" s="27"/>
    </row>
    <row r="9" spans="1:33" x14ac:dyDescent="0.2">
      <c r="A9" t="s">
        <v>92</v>
      </c>
      <c r="B9">
        <v>1200</v>
      </c>
      <c r="C9">
        <v>15</v>
      </c>
      <c r="E9" t="s">
        <v>44</v>
      </c>
      <c r="G9">
        <v>5.6501000000000001</v>
      </c>
      <c r="H9">
        <v>1.1380999999999999</v>
      </c>
      <c r="I9" s="12">
        <f>($G9*(((Mitoitus!$C$16+Mitoitus!$C$17)/2)-Mitoitus!$C$15)^$H9)*1.1</f>
        <v>533.39210288527636</v>
      </c>
      <c r="J9">
        <v>7.8</v>
      </c>
      <c r="K9">
        <v>8.3000000000000007</v>
      </c>
      <c r="L9">
        <f>M9-(Mitoitus!$C$29*0.1)</f>
        <v>0</v>
      </c>
      <c r="M9">
        <f>ROUND(Mitoitus!$C$32,1)</f>
        <v>0</v>
      </c>
      <c r="N9" s="82">
        <v>5.0609999999999999</v>
      </c>
      <c r="O9" s="82">
        <v>1.1679999999999999</v>
      </c>
      <c r="P9">
        <v>0.12</v>
      </c>
      <c r="Q9">
        <v>0.01</v>
      </c>
      <c r="R9">
        <v>10</v>
      </c>
      <c r="S9">
        <v>0</v>
      </c>
      <c r="T9">
        <v>0</v>
      </c>
      <c r="U9">
        <v>2</v>
      </c>
      <c r="V9" s="64">
        <f>M9+1</f>
        <v>1</v>
      </c>
      <c r="W9" s="63">
        <v>0</v>
      </c>
      <c r="X9" s="63">
        <f>Mitoitus!C36/6</f>
        <v>0</v>
      </c>
      <c r="Y9" s="63"/>
      <c r="Z9" s="63"/>
      <c r="AA9" s="63"/>
      <c r="AB9" s="28"/>
      <c r="AG9" s="27"/>
    </row>
    <row r="10" spans="1:33" x14ac:dyDescent="0.2">
      <c r="A10" t="s">
        <v>93</v>
      </c>
      <c r="B10">
        <v>1200</v>
      </c>
      <c r="C10">
        <v>15</v>
      </c>
      <c r="F10" t="s">
        <v>45</v>
      </c>
      <c r="G10">
        <v>5.6501000000000001</v>
      </c>
      <c r="H10">
        <v>1.1380999999999999</v>
      </c>
      <c r="I10" s="12">
        <f>($G10*(((Mitoitus!$C$16+Mitoitus!$C$17)/2)-Mitoitus!$C$15)^$H10)*1.1</f>
        <v>533.39210288527636</v>
      </c>
      <c r="J10">
        <v>7.8</v>
      </c>
      <c r="K10">
        <v>8.3000000000000007</v>
      </c>
      <c r="L10">
        <f>M10-(Mitoitus!$C$29*0.1)</f>
        <v>0</v>
      </c>
      <c r="M10">
        <f>ROUND(Mitoitus!$C$32,1)</f>
        <v>0</v>
      </c>
      <c r="N10" s="82">
        <v>5.0609999999999999</v>
      </c>
      <c r="O10" s="82">
        <v>1.1679999999999999</v>
      </c>
      <c r="P10">
        <v>0.02</v>
      </c>
      <c r="Q10">
        <v>0.01</v>
      </c>
      <c r="R10">
        <v>10</v>
      </c>
      <c r="S10">
        <v>10</v>
      </c>
      <c r="T10">
        <f>(M10*6)+(0.2*5)</f>
        <v>1</v>
      </c>
      <c r="U10">
        <v>0</v>
      </c>
      <c r="V10">
        <v>0</v>
      </c>
      <c r="W10" s="63">
        <f>Mitoitus!C36</f>
        <v>0</v>
      </c>
      <c r="X10" s="63">
        <v>0</v>
      </c>
      <c r="Y10" s="63"/>
      <c r="Z10" s="63"/>
      <c r="AA10" s="63"/>
      <c r="AB10" s="28"/>
      <c r="AG10" s="27"/>
    </row>
    <row r="11" spans="1:33" x14ac:dyDescent="0.2">
      <c r="A11" t="s">
        <v>94</v>
      </c>
      <c r="B11">
        <v>615</v>
      </c>
      <c r="C11">
        <v>35</v>
      </c>
      <c r="D11" t="s">
        <v>41</v>
      </c>
      <c r="G11">
        <v>2.4546999999999999</v>
      </c>
      <c r="H11">
        <v>1.1927000000000001</v>
      </c>
      <c r="I11" s="12">
        <f>($G11*(((Mitoitus!$C$16+Mitoitus!$C$17)/2)-Mitoitus!$C$15)^$H11)</f>
        <v>260.83144464986214</v>
      </c>
      <c r="J11">
        <v>4.5</v>
      </c>
      <c r="K11">
        <v>6.1</v>
      </c>
      <c r="L11">
        <f>M11-(Mitoitus!$C$29*0.5)</f>
        <v>0</v>
      </c>
      <c r="M11">
        <f>MROUND(Mitoitus!$C$32,0.5)</f>
        <v>0</v>
      </c>
      <c r="N11" s="83">
        <f>8.218/3.077</f>
        <v>2.6707832304192394</v>
      </c>
      <c r="O11" s="82">
        <v>1.196</v>
      </c>
      <c r="P11">
        <v>3.5999999999999997E-2</v>
      </c>
      <c r="Q11">
        <v>0.25</v>
      </c>
      <c r="R11">
        <v>32</v>
      </c>
      <c r="S11">
        <v>2</v>
      </c>
      <c r="T11">
        <f>(M11*2)+0.27</f>
        <v>0.27</v>
      </c>
      <c r="U11">
        <v>0</v>
      </c>
      <c r="V11">
        <v>0</v>
      </c>
      <c r="W11" s="63">
        <f>Mitoitus!C36</f>
        <v>0</v>
      </c>
      <c r="X11" s="63">
        <v>0</v>
      </c>
      <c r="Y11" s="63"/>
      <c r="Z11" s="63"/>
      <c r="AA11" s="63"/>
      <c r="AB11" s="28"/>
      <c r="AG11" s="27"/>
    </row>
    <row r="12" spans="1:33" x14ac:dyDescent="0.2">
      <c r="A12" t="s">
        <v>95</v>
      </c>
      <c r="B12">
        <v>615</v>
      </c>
      <c r="C12">
        <v>35</v>
      </c>
      <c r="E12" t="s">
        <v>44</v>
      </c>
      <c r="G12">
        <v>2.4546999999999999</v>
      </c>
      <c r="H12">
        <v>1.1927000000000001</v>
      </c>
      <c r="I12" s="12">
        <f>($G12*(((Mitoitus!$C$16+Mitoitus!$C$17)/2)-Mitoitus!$C$15)^$H12)</f>
        <v>260.83144464986214</v>
      </c>
      <c r="J12">
        <v>4.5</v>
      </c>
      <c r="K12">
        <v>6.1</v>
      </c>
      <c r="L12">
        <f>M12-(Mitoitus!$C$29*0.5)</f>
        <v>0</v>
      </c>
      <c r="M12">
        <f>MROUND(Mitoitus!$C$32,0.5)</f>
        <v>0</v>
      </c>
      <c r="N12" s="83">
        <f>8.218/3.077</f>
        <v>2.6707832304192394</v>
      </c>
      <c r="O12" s="82">
        <v>1.196</v>
      </c>
      <c r="P12">
        <v>7.1999999999999995E-2</v>
      </c>
      <c r="Q12">
        <v>0.25</v>
      </c>
      <c r="R12">
        <v>32</v>
      </c>
      <c r="S12">
        <v>0</v>
      </c>
      <c r="T12">
        <v>0</v>
      </c>
      <c r="U12">
        <v>2</v>
      </c>
      <c r="V12">
        <f>M12+0.27</f>
        <v>0.27</v>
      </c>
      <c r="W12" s="63">
        <v>0</v>
      </c>
      <c r="X12" s="63">
        <f>Mitoitus!C36/2</f>
        <v>0</v>
      </c>
      <c r="Y12" s="63"/>
      <c r="Z12" s="63"/>
      <c r="AA12" s="63"/>
      <c r="AB12" s="28"/>
      <c r="AG12" s="27"/>
    </row>
    <row r="13" spans="1:33" x14ac:dyDescent="0.2">
      <c r="A13" t="s">
        <v>96</v>
      </c>
      <c r="B13">
        <v>900</v>
      </c>
      <c r="C13">
        <v>35</v>
      </c>
      <c r="D13" t="s">
        <v>41</v>
      </c>
      <c r="G13">
        <v>3.8271000000000002</v>
      </c>
      <c r="H13">
        <v>1.1901999999999999</v>
      </c>
      <c r="I13" s="12">
        <f>($G13*(((Mitoitus!$C$16+Mitoitus!$C$17)/2)-Mitoitus!$C$15)^$H13)</f>
        <v>402.70211395237391</v>
      </c>
      <c r="J13">
        <v>6.9</v>
      </c>
      <c r="K13">
        <v>9.3000000000000007</v>
      </c>
      <c r="L13">
        <f>M13-(Mitoitus!$C$29*0.5)</f>
        <v>0</v>
      </c>
      <c r="M13">
        <f>MROUND(Mitoitus!$C$32,0.5)</f>
        <v>0</v>
      </c>
      <c r="N13" s="83">
        <f>11.979/3.077</f>
        <v>3.8930776730581735</v>
      </c>
      <c r="O13" s="82">
        <v>1.1919999999999999</v>
      </c>
      <c r="P13">
        <v>7.1999999999999995E-2</v>
      </c>
      <c r="Q13">
        <v>0.25</v>
      </c>
      <c r="R13">
        <v>32</v>
      </c>
      <c r="S13">
        <v>0</v>
      </c>
      <c r="T13">
        <f>M13</f>
        <v>0</v>
      </c>
      <c r="U13">
        <v>3</v>
      </c>
      <c r="V13">
        <f>M13+(0.27*2)</f>
        <v>0.54</v>
      </c>
      <c r="W13" s="63">
        <f>Mitoitus!C36</f>
        <v>0</v>
      </c>
      <c r="X13" s="63">
        <f>Mitoitus!C36/2</f>
        <v>0</v>
      </c>
      <c r="Y13" s="63"/>
      <c r="Z13" s="63"/>
      <c r="AA13" s="63"/>
      <c r="AB13" s="28"/>
      <c r="AG13" s="27"/>
    </row>
    <row r="14" spans="1:33" x14ac:dyDescent="0.2">
      <c r="A14" t="s">
        <v>97</v>
      </c>
      <c r="B14">
        <v>900</v>
      </c>
      <c r="C14">
        <v>35</v>
      </c>
      <c r="E14" t="s">
        <v>44</v>
      </c>
      <c r="G14">
        <v>3.8271000000000002</v>
      </c>
      <c r="H14">
        <v>1.1901999999999999</v>
      </c>
      <c r="I14" s="12">
        <f>($G14*(((Mitoitus!$C$16+Mitoitus!$C$17)/2)-Mitoitus!$C$15)^$H14)</f>
        <v>402.70211395237391</v>
      </c>
      <c r="J14">
        <v>6.9</v>
      </c>
      <c r="K14">
        <v>9.3000000000000007</v>
      </c>
      <c r="L14">
        <f>M14-(Mitoitus!$C$29*0.5)</f>
        <v>0</v>
      </c>
      <c r="M14">
        <f>MROUND(Mitoitus!$C$32,0.5)</f>
        <v>0</v>
      </c>
      <c r="N14" s="83">
        <f>11.979/3.077</f>
        <v>3.8930776730581735</v>
      </c>
      <c r="O14" s="82">
        <v>1.1919999999999999</v>
      </c>
      <c r="P14">
        <v>0.108</v>
      </c>
      <c r="Q14">
        <v>0.25</v>
      </c>
      <c r="R14">
        <v>32</v>
      </c>
      <c r="S14">
        <v>0</v>
      </c>
      <c r="T14">
        <v>0</v>
      </c>
      <c r="U14">
        <v>2</v>
      </c>
      <c r="V14">
        <f>M14+(0.27*2)</f>
        <v>0.54</v>
      </c>
      <c r="W14" s="63">
        <v>0</v>
      </c>
      <c r="X14" s="63">
        <f>Mitoitus!C36/3</f>
        <v>0</v>
      </c>
      <c r="Y14" s="63"/>
      <c r="Z14" s="63"/>
      <c r="AA14" s="63"/>
      <c r="AB14" s="28"/>
      <c r="AG14" s="27"/>
    </row>
    <row r="15" spans="1:33" x14ac:dyDescent="0.2">
      <c r="A15" t="s">
        <v>98</v>
      </c>
      <c r="B15">
        <v>900</v>
      </c>
      <c r="C15">
        <v>35</v>
      </c>
      <c r="F15" t="s">
        <v>45</v>
      </c>
      <c r="G15">
        <v>3.8271000000000002</v>
      </c>
      <c r="H15">
        <v>1.1901999999999999</v>
      </c>
      <c r="I15" s="12">
        <f>($G15*(((Mitoitus!$C$16+Mitoitus!$C$17)/2)-Mitoitus!$C$15)^$H15)</f>
        <v>402.70211395237391</v>
      </c>
      <c r="J15">
        <v>6.9</v>
      </c>
      <c r="K15">
        <v>9.3000000000000007</v>
      </c>
      <c r="L15">
        <f>M15-(Mitoitus!$C$29*0.5)</f>
        <v>0</v>
      </c>
      <c r="M15">
        <f>MROUND(Mitoitus!$C$32,0.5)</f>
        <v>0</v>
      </c>
      <c r="N15" s="83">
        <f>11.979/3.077</f>
        <v>3.8930776730581735</v>
      </c>
      <c r="O15" s="82">
        <v>1.1919999999999999</v>
      </c>
      <c r="P15">
        <v>3.5999999999999997E-2</v>
      </c>
      <c r="Q15">
        <v>0.25</v>
      </c>
      <c r="R15">
        <v>32</v>
      </c>
      <c r="S15">
        <v>4</v>
      </c>
      <c r="T15">
        <f>(M15*3)+(0.2*2)</f>
        <v>0.4</v>
      </c>
      <c r="U15">
        <v>0</v>
      </c>
      <c r="V15">
        <v>0</v>
      </c>
      <c r="W15" s="63">
        <f>Mitoitus!C36</f>
        <v>0</v>
      </c>
      <c r="X15" s="63">
        <v>0</v>
      </c>
      <c r="Y15" s="63"/>
      <c r="Z15" s="63"/>
      <c r="AA15" s="63"/>
      <c r="AB15" s="28"/>
      <c r="AG15" s="27"/>
    </row>
    <row r="16" spans="1:33" x14ac:dyDescent="0.2">
      <c r="AB16" s="28"/>
      <c r="AG16" s="27"/>
    </row>
    <row r="17" spans="1:33" x14ac:dyDescent="0.2">
      <c r="AB17" s="28"/>
      <c r="AG17" s="27"/>
    </row>
    <row r="18" spans="1:33" ht="16" thickBot="1" x14ac:dyDescent="0.25">
      <c r="AB18" s="29"/>
      <c r="AC18" s="30"/>
      <c r="AD18" s="30"/>
      <c r="AE18" s="30"/>
      <c r="AF18" s="30"/>
      <c r="AG18" s="31"/>
    </row>
    <row r="22" spans="1:33" x14ac:dyDescent="0.2">
      <c r="B22" s="104" t="s">
        <v>47</v>
      </c>
      <c r="C22" s="104"/>
      <c r="D22" s="104"/>
      <c r="E22" s="104" t="s">
        <v>48</v>
      </c>
      <c r="F22" s="104"/>
      <c r="G22" s="104"/>
      <c r="H22" s="104"/>
      <c r="I22" s="104"/>
      <c r="J22" s="104"/>
    </row>
    <row r="23" spans="1:33" x14ac:dyDescent="0.2">
      <c r="B23" s="11" t="s">
        <v>15</v>
      </c>
      <c r="C23" s="11" t="s">
        <v>17</v>
      </c>
      <c r="D23" s="11" t="s">
        <v>16</v>
      </c>
      <c r="E23" s="11" t="s">
        <v>15</v>
      </c>
      <c r="F23" s="11" t="s">
        <v>17</v>
      </c>
      <c r="G23" s="11"/>
      <c r="H23" s="11"/>
      <c r="I23" s="11" t="s">
        <v>17</v>
      </c>
      <c r="J23" s="11" t="s">
        <v>16</v>
      </c>
    </row>
    <row r="24" spans="1:33" x14ac:dyDescent="0.2">
      <c r="A24" t="s">
        <v>49</v>
      </c>
      <c r="C24">
        <f>$D24</f>
        <v>0</v>
      </c>
      <c r="D24">
        <f>Mitoitus!$C$32</f>
        <v>0</v>
      </c>
      <c r="F24" t="e">
        <f>#REF!</f>
        <v>#REF!</v>
      </c>
      <c r="I24">
        <f>$J24</f>
        <v>0</v>
      </c>
      <c r="J24">
        <f>Mitoitus!$I$32</f>
        <v>0</v>
      </c>
    </row>
    <row r="25" spans="1:33" x14ac:dyDescent="0.2">
      <c r="A25" t="s">
        <v>49</v>
      </c>
      <c r="C25">
        <f>$D25</f>
        <v>0</v>
      </c>
      <c r="D25">
        <f>Mitoitus!$C$32</f>
        <v>0</v>
      </c>
      <c r="F25" t="e">
        <f>#REF!</f>
        <v>#REF!</v>
      </c>
      <c r="I25">
        <f>$J25</f>
        <v>0</v>
      </c>
      <c r="J25">
        <f>Mitoitus!$I$32</f>
        <v>0</v>
      </c>
    </row>
    <row r="26" spans="1:33" x14ac:dyDescent="0.2">
      <c r="A26" t="s">
        <v>49</v>
      </c>
      <c r="C26">
        <f>$D26</f>
        <v>0</v>
      </c>
      <c r="D26">
        <f>Mitoitus!$C$32</f>
        <v>0</v>
      </c>
      <c r="F26" t="e">
        <f>#REF!</f>
        <v>#REF!</v>
      </c>
      <c r="I26">
        <f>$J26</f>
        <v>0</v>
      </c>
      <c r="J26">
        <f>Mitoitus!$I$32</f>
        <v>0</v>
      </c>
    </row>
    <row r="27" spans="1:33" x14ac:dyDescent="0.2">
      <c r="A27" t="s">
        <v>50</v>
      </c>
      <c r="C27">
        <f>Mitoitus!$C$32-(Mitoitus!$C$29*0.5)</f>
        <v>0</v>
      </c>
      <c r="F27" t="e">
        <f>Mitoitus!$F$32-(Mitoitus!$F$29*0.5)</f>
        <v>#VALUE!</v>
      </c>
      <c r="I27">
        <f>Mitoitus!$I$32-(Mitoitus!$I$29*0.5)</f>
        <v>0</v>
      </c>
    </row>
    <row r="28" spans="1:33" x14ac:dyDescent="0.2">
      <c r="A28" t="s">
        <v>50</v>
      </c>
      <c r="C28">
        <f>Mitoitus!$C$32-(Mitoitus!$C$29*0.5)</f>
        <v>0</v>
      </c>
      <c r="F28" t="e">
        <f>Mitoitus!$F$32-(Mitoitus!$F$29*0.5)</f>
        <v>#VALUE!</v>
      </c>
      <c r="I28">
        <f>Mitoitus!$I$32-(Mitoitus!$I$29*0.5)</f>
        <v>0</v>
      </c>
    </row>
  </sheetData>
  <mergeCells count="4">
    <mergeCell ref="I22:J22"/>
    <mergeCell ref="D2:F2"/>
    <mergeCell ref="B22:D22"/>
    <mergeCell ref="E22:H22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A728-C5B1-4661-BF22-979FE694A939}">
  <dimension ref="A1:V16"/>
  <sheetViews>
    <sheetView workbookViewId="0">
      <selection activeCell="I5" sqref="I5"/>
    </sheetView>
  </sheetViews>
  <sheetFormatPr baseColWidth="10" defaultColWidth="8.83203125" defaultRowHeight="15" x14ac:dyDescent="0.2"/>
  <cols>
    <col min="1" max="1" width="11" customWidth="1"/>
    <col min="9" max="9" width="10.5" customWidth="1"/>
    <col min="10" max="10" width="14.83203125" customWidth="1"/>
    <col min="11" max="11" width="9.83203125" bestFit="1" customWidth="1"/>
    <col min="15" max="15" width="14.6640625" customWidth="1"/>
    <col min="16" max="16" width="13.5" customWidth="1"/>
  </cols>
  <sheetData>
    <row r="1" spans="1:22" ht="19" x14ac:dyDescent="0.25">
      <c r="B1" s="107" t="s">
        <v>109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22" x14ac:dyDescent="0.2">
      <c r="A2" s="69" t="s">
        <v>110</v>
      </c>
      <c r="B2" s="69" t="s">
        <v>111</v>
      </c>
      <c r="C2" s="69" t="s">
        <v>112</v>
      </c>
      <c r="D2" s="69" t="s">
        <v>113</v>
      </c>
      <c r="E2" s="69" t="s">
        <v>114</v>
      </c>
      <c r="F2" s="69" t="s">
        <v>115</v>
      </c>
      <c r="G2" s="69" t="s">
        <v>116</v>
      </c>
      <c r="H2" s="69" t="s">
        <v>117</v>
      </c>
      <c r="I2" s="69" t="s">
        <v>118</v>
      </c>
      <c r="J2" s="69" t="s">
        <v>119</v>
      </c>
      <c r="K2" s="69" t="s">
        <v>5</v>
      </c>
      <c r="L2" s="69" t="s">
        <v>120</v>
      </c>
      <c r="M2" s="69"/>
      <c r="N2" s="69" t="s">
        <v>121</v>
      </c>
      <c r="O2" s="69" t="s">
        <v>122</v>
      </c>
      <c r="P2" s="69" t="s">
        <v>123</v>
      </c>
    </row>
    <row r="3" spans="1:22" x14ac:dyDescent="0.2">
      <c r="A3" s="70" t="s">
        <v>25</v>
      </c>
      <c r="B3" s="70" t="s">
        <v>124</v>
      </c>
      <c r="C3" s="70" t="s">
        <v>34</v>
      </c>
      <c r="D3" s="70" t="s">
        <v>28</v>
      </c>
      <c r="E3" s="70" t="s">
        <v>125</v>
      </c>
      <c r="F3" s="70" t="s">
        <v>126</v>
      </c>
      <c r="G3" s="70" t="s">
        <v>127</v>
      </c>
      <c r="H3" s="70" t="s">
        <v>128</v>
      </c>
      <c r="I3" s="70" t="s">
        <v>28</v>
      </c>
      <c r="J3" s="70" t="s">
        <v>128</v>
      </c>
      <c r="K3" s="70" t="s">
        <v>25</v>
      </c>
      <c r="L3" s="70" t="s">
        <v>129</v>
      </c>
      <c r="M3" s="70" t="s">
        <v>130</v>
      </c>
      <c r="N3" s="70" t="s">
        <v>36</v>
      </c>
      <c r="O3" s="70" t="s">
        <v>36</v>
      </c>
      <c r="P3" s="70" t="s">
        <v>36</v>
      </c>
    </row>
    <row r="4" spans="1:22" x14ac:dyDescent="0.2">
      <c r="A4" s="71"/>
      <c r="B4" s="71" t="s">
        <v>131</v>
      </c>
      <c r="C4" s="71" t="s">
        <v>132</v>
      </c>
      <c r="D4" s="71" t="s">
        <v>44</v>
      </c>
      <c r="E4" s="71" t="s">
        <v>133</v>
      </c>
      <c r="F4" s="71" t="s">
        <v>134</v>
      </c>
      <c r="G4" s="71" t="s">
        <v>135</v>
      </c>
      <c r="H4" s="71" t="s">
        <v>136</v>
      </c>
      <c r="I4" s="71" t="s">
        <v>137</v>
      </c>
      <c r="J4" s="71" t="s">
        <v>138</v>
      </c>
      <c r="K4" s="71" t="s">
        <v>139</v>
      </c>
      <c r="L4" s="71" t="s">
        <v>140</v>
      </c>
      <c r="M4" s="71" t="s">
        <v>31</v>
      </c>
      <c r="N4" s="71" t="s">
        <v>141</v>
      </c>
      <c r="O4" s="71" t="s">
        <v>142</v>
      </c>
      <c r="P4" s="71" t="s">
        <v>143</v>
      </c>
    </row>
    <row r="5" spans="1:22" x14ac:dyDescent="0.2">
      <c r="A5" s="72" t="str">
        <f>Mitoitus!C20</f>
        <v>Casa 400 P</v>
      </c>
      <c r="B5" s="73">
        <f>(Mitoitus!C16+Mitoitus!C17)/2</f>
        <v>70</v>
      </c>
      <c r="C5" s="74">
        <f>VLOOKUP(A5,Data!A3:X17,23,FALSE)</f>
        <v>0</v>
      </c>
      <c r="D5" s="73">
        <f>VLOOKUP(A5,Data!A3:X15,18,FALSE)</f>
        <v>10</v>
      </c>
      <c r="E5" s="75">
        <f>IF(Q5=TRUE,"",C5*(4/(D5*D5*3.14)*1000))</f>
        <v>0</v>
      </c>
      <c r="F5" s="76">
        <f>IF(B5="","",-0.0037*B5*B5-0.073*B5+1001)</f>
        <v>977.76</v>
      </c>
      <c r="G5" s="72">
        <f>IF(B5="","",0.0002*B5*B5-0.03*B5+1.5564)</f>
        <v>0.4363999999999999</v>
      </c>
      <c r="H5" s="77">
        <f>IF(Q5=TRUE,"",(E5*D5/G5*1000+0.01))</f>
        <v>0.01</v>
      </c>
      <c r="I5" s="73">
        <f>VLOOKUP(A5,Data!A3:X15,17,FALSE)</f>
        <v>0.01</v>
      </c>
      <c r="J5" s="78" t="e">
        <f>IF(R5=TRUE,"",(-1.737*LN(0.269*I5/D5-2.185/H5*LN(0.269*I5/D5+14.5/H5)))^-2)</f>
        <v>#NUM!</v>
      </c>
      <c r="K5" s="73">
        <f>VLOOKUP(A5,Data!A3:T15,20,FALSE)</f>
        <v>0.2</v>
      </c>
      <c r="L5" s="73">
        <v>0.75</v>
      </c>
      <c r="M5" s="73">
        <f>VLOOKUP(A5,Data!A3:T15,19,FALSE)</f>
        <v>2</v>
      </c>
      <c r="N5" s="72">
        <f>IF(K5="","",IF(H5&lt;2300,INT(64/H5*K5/D5*F5*E5*E5/2*10/9.81*10)/10,INT(4*J5*K5/D5*F5*E5*E5/2*10/9.81*10)/10))</f>
        <v>0</v>
      </c>
      <c r="O5" s="72">
        <f>IF(T5=TRUE,"",INT(L5*M5*F5*E5*E5/2/100/9.81*10)/10)</f>
        <v>0</v>
      </c>
      <c r="P5" s="72" t="str">
        <f>IF(U5+V5=0,"",U5+V5)</f>
        <v/>
      </c>
      <c r="Q5" t="b">
        <f>OR(B5="",C5="",D5="")</f>
        <v>0</v>
      </c>
      <c r="R5" t="b">
        <f>OR(H5="",I5="")</f>
        <v>0</v>
      </c>
      <c r="S5" t="b">
        <f>OR(L5="",M5="")</f>
        <v>0</v>
      </c>
      <c r="T5" t="b">
        <f>OR(Q5=TRUE,S5=TRUE)</f>
        <v>0</v>
      </c>
      <c r="U5">
        <f>IF(N5="",0,N5)</f>
        <v>0</v>
      </c>
      <c r="V5">
        <f>IF(O5="",0,O5)</f>
        <v>0</v>
      </c>
    </row>
    <row r="6" spans="1:22" x14ac:dyDescent="0.2">
      <c r="A6" s="72" t="str">
        <f>Mitoitus!C20</f>
        <v>Casa 400 P</v>
      </c>
      <c r="B6" s="73">
        <f>(Mitoitus!C16+Mitoitus!C17)/2</f>
        <v>70</v>
      </c>
      <c r="C6" s="74">
        <f>VLOOKUP(A6,Data!A3:X17,24,FALSE)</f>
        <v>0</v>
      </c>
      <c r="D6" s="73">
        <f>VLOOKUP(A6,Data!A3:X15,18,FALSE)</f>
        <v>10</v>
      </c>
      <c r="E6" s="75">
        <f>IF(Q6=TRUE,"",C6*(4/(D6*D6*3.14)*1000))</f>
        <v>0</v>
      </c>
      <c r="F6" s="76">
        <f>IF(B6="","",-0.0037*B6*B6-0.073*B6+1001)</f>
        <v>977.76</v>
      </c>
      <c r="G6" s="72">
        <f>IF(B6="","",0.0002*B6*B6-0.03*B6+1.5564)</f>
        <v>0.4363999999999999</v>
      </c>
      <c r="H6" s="77">
        <f>IF(Q6=TRUE,"",(E6*D6/G6*1000+0.01))</f>
        <v>0.01</v>
      </c>
      <c r="I6" s="73">
        <f>VLOOKUP(A6,Data!A3:X15,17,FALSE)</f>
        <v>0.01</v>
      </c>
      <c r="J6" s="78" t="e">
        <f>IF(R6=TRUE,"",(-1.737*LN(0.269*I6/D6-2.185/H6*LN(0.269*I6/D6+14.5/H6)))^-2)</f>
        <v>#NUM!</v>
      </c>
      <c r="K6" s="73">
        <f>VLOOKUP(A6,Data!A3:X15,22,FALSE)</f>
        <v>0</v>
      </c>
      <c r="L6" s="73">
        <v>0.75</v>
      </c>
      <c r="M6" s="73">
        <f>VLOOKUP(A6,Data!A3:X15,21,FALSE)</f>
        <v>0</v>
      </c>
      <c r="N6" s="72">
        <f>IF(K6="","",IF(H6&lt;2300,INT(64/H6*K6/D6*F6*E6*E6/2*10/9.81*10)/10,INT(4*J6*K6/D6*F6*E6*E6/2*10/9.81*10)/10))</f>
        <v>0</v>
      </c>
      <c r="O6" s="72">
        <f>IF(T6=TRUE,"",INT(L6*M6*F6*E6*E6/2/100/9.81*10)/10)</f>
        <v>0</v>
      </c>
      <c r="P6" s="72" t="str">
        <f>IF(U6+V6=0,"",U6+V6)</f>
        <v/>
      </c>
      <c r="Q6" t="b">
        <f>OR(B6="",C6="",D6="")</f>
        <v>0</v>
      </c>
      <c r="R6" t="b">
        <f>OR(H6="",I6="")</f>
        <v>0</v>
      </c>
      <c r="S6" t="b">
        <f>OR(L6="",M6="")</f>
        <v>0</v>
      </c>
      <c r="T6" t="b">
        <f>OR(Q6=TRUE,S6=TRUE)</f>
        <v>0</v>
      </c>
      <c r="U6">
        <f>IF(N6="",0,N6)</f>
        <v>0</v>
      </c>
      <c r="V6">
        <f>IF(O6="",0,O6)</f>
        <v>0</v>
      </c>
    </row>
    <row r="7" spans="1:22" x14ac:dyDescent="0.2">
      <c r="A7" s="72"/>
      <c r="B7" s="73"/>
      <c r="C7" s="74"/>
      <c r="D7" s="73"/>
      <c r="E7" s="75"/>
      <c r="F7" s="76"/>
      <c r="G7" s="72"/>
      <c r="H7" s="77"/>
      <c r="I7" s="73"/>
      <c r="J7" s="78"/>
      <c r="K7" s="73"/>
      <c r="L7" s="73"/>
      <c r="M7" s="73"/>
      <c r="N7" s="72"/>
      <c r="O7" s="72"/>
      <c r="P7" s="72"/>
    </row>
    <row r="8" spans="1:22" x14ac:dyDescent="0.2">
      <c r="A8" s="72"/>
      <c r="B8" s="73"/>
      <c r="C8" s="74"/>
      <c r="D8" s="73"/>
      <c r="E8" s="75"/>
      <c r="F8" s="76"/>
      <c r="G8" s="72"/>
      <c r="H8" s="77"/>
      <c r="I8" s="73"/>
      <c r="J8" s="78"/>
      <c r="K8" s="73"/>
      <c r="L8" s="73"/>
      <c r="M8" s="73"/>
      <c r="N8" s="72"/>
      <c r="O8" s="72"/>
      <c r="P8" s="72"/>
    </row>
    <row r="9" spans="1:22" x14ac:dyDescent="0.2">
      <c r="A9" s="72"/>
      <c r="B9" s="73"/>
      <c r="C9" s="74"/>
      <c r="D9" s="73"/>
      <c r="E9" s="75"/>
      <c r="F9" s="76"/>
      <c r="G9" s="72"/>
      <c r="H9" s="77"/>
      <c r="I9" s="73"/>
      <c r="J9" s="78"/>
      <c r="K9" s="73"/>
      <c r="L9" s="73"/>
      <c r="M9" s="73" t="s">
        <v>151</v>
      </c>
      <c r="N9" s="72">
        <f>N5+N6</f>
        <v>0</v>
      </c>
      <c r="O9" s="72">
        <f>O5+O6</f>
        <v>0</v>
      </c>
      <c r="P9" s="72"/>
    </row>
    <row r="10" spans="1:22" x14ac:dyDescent="0.2">
      <c r="A10" s="72"/>
      <c r="B10" s="73"/>
      <c r="C10" s="74"/>
      <c r="D10" s="73"/>
      <c r="E10" s="75"/>
      <c r="F10" s="76"/>
      <c r="G10" s="72"/>
      <c r="H10" s="77"/>
      <c r="I10" s="73"/>
      <c r="J10" s="78"/>
      <c r="K10" s="73"/>
      <c r="L10" s="73"/>
      <c r="M10" s="73" t="s">
        <v>152</v>
      </c>
      <c r="N10" s="72">
        <f>N9+O9</f>
        <v>0</v>
      </c>
      <c r="O10" s="72"/>
      <c r="P10" s="72"/>
    </row>
    <row r="11" spans="1:22" x14ac:dyDescent="0.2">
      <c r="A11" s="72"/>
      <c r="B11" s="73"/>
      <c r="C11" s="74"/>
      <c r="D11" s="73"/>
      <c r="E11" s="75"/>
      <c r="F11" s="76"/>
      <c r="G11" s="72"/>
      <c r="H11" s="77"/>
      <c r="I11" s="73"/>
      <c r="J11" s="78"/>
      <c r="K11" s="73"/>
      <c r="L11" s="73"/>
      <c r="M11" s="73"/>
      <c r="N11" s="72"/>
      <c r="O11" s="72"/>
      <c r="P11" s="72"/>
    </row>
    <row r="12" spans="1:22" x14ac:dyDescent="0.2">
      <c r="A12" s="72"/>
      <c r="B12" s="73"/>
      <c r="C12" s="74"/>
      <c r="D12" s="73"/>
      <c r="E12" s="75"/>
      <c r="F12" s="76"/>
      <c r="G12" s="72"/>
      <c r="H12" s="77"/>
      <c r="I12" s="73"/>
      <c r="J12" s="78"/>
      <c r="K12" s="73"/>
      <c r="L12" s="73"/>
      <c r="M12" s="73"/>
      <c r="N12" s="72"/>
      <c r="O12" s="72"/>
      <c r="P12" s="72"/>
    </row>
    <row r="13" spans="1:22" x14ac:dyDescent="0.2">
      <c r="A13" s="72"/>
      <c r="B13" s="73"/>
      <c r="C13" s="74"/>
      <c r="D13" s="73"/>
      <c r="E13" s="75"/>
      <c r="F13" s="76"/>
      <c r="G13" s="72"/>
      <c r="H13" s="77"/>
      <c r="I13" s="73"/>
      <c r="J13" s="78"/>
      <c r="K13" s="73"/>
      <c r="L13" s="73"/>
      <c r="M13" s="73"/>
      <c r="N13" s="72"/>
      <c r="O13" s="72"/>
      <c r="P13" s="72"/>
    </row>
    <row r="14" spans="1:22" x14ac:dyDescent="0.2">
      <c r="A14" s="72"/>
      <c r="B14" s="73"/>
      <c r="C14" s="74"/>
      <c r="D14" s="73"/>
      <c r="E14" s="75"/>
      <c r="F14" s="76"/>
      <c r="G14" s="72"/>
      <c r="H14" s="77"/>
      <c r="I14" s="73"/>
      <c r="J14" s="78"/>
      <c r="K14" s="73"/>
      <c r="L14" s="73"/>
      <c r="M14" s="73"/>
      <c r="N14" s="72"/>
      <c r="O14" s="72"/>
      <c r="P14" s="72"/>
    </row>
    <row r="15" spans="1:22" x14ac:dyDescent="0.2">
      <c r="A15" s="72"/>
      <c r="B15" s="73"/>
      <c r="C15" s="74"/>
      <c r="D15" s="73"/>
      <c r="E15" s="75"/>
      <c r="F15" s="76"/>
      <c r="G15" s="72"/>
      <c r="H15" s="77"/>
      <c r="I15" s="73"/>
      <c r="J15" s="78"/>
      <c r="K15" s="73"/>
      <c r="L15" s="73"/>
      <c r="M15" s="73"/>
      <c r="N15" s="72"/>
      <c r="O15" s="72"/>
      <c r="P15" s="72"/>
    </row>
    <row r="16" spans="1:22" x14ac:dyDescent="0.2">
      <c r="A16" s="72"/>
      <c r="B16" s="73"/>
      <c r="C16" s="74"/>
      <c r="D16" s="73"/>
      <c r="E16" s="75"/>
      <c r="F16" s="76"/>
      <c r="G16" s="72"/>
      <c r="H16" s="77"/>
      <c r="I16" s="73"/>
      <c r="J16" s="78"/>
      <c r="K16" s="73"/>
      <c r="L16" s="73"/>
      <c r="M16" s="73"/>
      <c r="N16" s="72"/>
      <c r="O16" s="72"/>
      <c r="P16" s="72"/>
    </row>
  </sheetData>
  <mergeCells count="1">
    <mergeCell ref="B1:P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4</vt:i4>
      </vt:variant>
    </vt:vector>
  </HeadingPairs>
  <TitlesOfParts>
    <vt:vector size="7" baseType="lpstr">
      <vt:lpstr>Mitoitus</vt:lpstr>
      <vt:lpstr>Data</vt:lpstr>
      <vt:lpstr>Painehäviö</vt:lpstr>
      <vt:lpstr>kopl400</vt:lpstr>
      <vt:lpstr>Kopplingstyp1</vt:lpstr>
      <vt:lpstr>Panelmodell</vt:lpstr>
      <vt:lpstr>Mitoitus!Tulostusalue</vt:lpstr>
    </vt:vector>
  </TitlesOfParts>
  <Company>Stravent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ARENA- ja CASA-kattosäteilijöiden mitoitus</dc:title>
  <dc:creator>Stravent Oy</dc:creator>
  <cp:lastModifiedBy>Kim Karkulahti</cp:lastModifiedBy>
  <cp:lastPrinted>2024-01-16T07:22:09Z</cp:lastPrinted>
  <dcterms:created xsi:type="dcterms:W3CDTF">2016-11-15T05:51:33Z</dcterms:created>
  <dcterms:modified xsi:type="dcterms:W3CDTF">2026-10-11T12:24:43Z</dcterms:modified>
</cp:coreProperties>
</file>